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DIZ\"/>
    </mc:Choice>
  </mc:AlternateContent>
  <workbookProtection workbookAlgorithmName="SHA-512" workbookHashValue="D8JB7SKvul6IB3uXkSnCrIfACDBPvzC0urFlw/xfvBSWpXEbrolfunfPrvwvL1xO86zrqPhOnvmKxoYuHJ5W5Q==" workbookSaltValue="HM39/V5QZOC/wIcPny6Ui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26" state="veryHidden" r:id="rId14"/>
    <sheet name="Indicadores CA Reducida" sheetId="17" state="veryHidden" r:id="rId15"/>
    <sheet name="Jueces" sheetId="18" state="veryHidden" r:id="rId16"/>
    <sheet name="DatosP" sheetId="19" state="veryHidden" r:id="rId17"/>
    <sheet name="Indicadores Penal" sheetId="27" state="veryHidden" r:id="rId18"/>
    <sheet name="PyL" sheetId="22" state="veryHidden" r:id="rId19"/>
    <sheet name="Resumen" sheetId="21" state="veryHidden" r:id="rId20"/>
    <sheet name="Indicadores IV" sheetId="16" state="veryHidden" r:id="rId21"/>
    <sheet name="Indicadores IVP" sheetId="20" state="veryHidden" r:id="rId22"/>
    <sheet name="Resumen IV" sheetId="28" state="veryHidden" r:id="rId23"/>
  </sheets>
  <definedNames>
    <definedName name="_xlnm._FilterDatabase" localSheetId="11" hidden="1">Datos!$A$5:$X$20</definedName>
    <definedName name="_xlnm._FilterDatabase" localSheetId="12" hidden="1">DatosB!$A$5:$X$20</definedName>
    <definedName name="agrupada" localSheetId="13">Criterios!$D$13</definedName>
    <definedName name="agrupada">Criterios!$D$13</definedName>
    <definedName name="Año" localSheetId="13">Criterios!$B$5</definedName>
    <definedName name="Año">Criterios!$B$5</definedName>
    <definedName name="_xlnm.Print_Area" localSheetId="0">Criterios!$A$1:$F$18</definedName>
    <definedName name="_xlnm.Print_Area" localSheetId="11">Datos!$A$5:$BM$20</definedName>
    <definedName name="_xlnm.Print_Area" localSheetId="12">DatosB!$A$5:$BM$20</definedName>
    <definedName name="_xlnm.Print_Area" localSheetId="10">Definiciones!$A$1:$B$19</definedName>
    <definedName name="_xlnm.Print_Area" localSheetId="4">'Ejecu  Sentencias'!$A$1:$E$23</definedName>
    <definedName name="_xlnm.Print_Area" localSheetId="8">Evolucion!$C$1:$K$31</definedName>
    <definedName name="_xlnm.Print_Area" localSheetId="5">Evolución!$A$1:$K$24</definedName>
    <definedName name="_xlnm.Print_Area" localSheetId="7">Indicadores!$A$1:$AX$29</definedName>
    <definedName name="_xlnm.Print_Area" localSheetId="13">'Indicadores CA'!$A$1:$BU$29</definedName>
    <definedName name="_xlnm.Print_Area" localSheetId="14">'Indicadores CA Reducida'!$A$1:$AX$29</definedName>
    <definedName name="_xlnm.Print_Area" localSheetId="20">'Indicadores IV'!$A$1:$BU$29</definedName>
    <definedName name="_xlnm.Print_Area" localSheetId="21">'Indicadores IVP'!$A$1:$BC$29</definedName>
    <definedName name="_xlnm.Print_Area" localSheetId="17">'Indicadores Penal'!$A$1:$BC$29</definedName>
    <definedName name="_xlnm.Print_Area" localSheetId="9">Juez!$A$1:$AD$41</definedName>
    <definedName name="_xlnm.Print_Area" localSheetId="2">Modulos!$A$1:$M$24</definedName>
    <definedName name="_xlnm.Print_Area" localSheetId="1">NºAsuntos!$A$1:$J$24</definedName>
    <definedName name="_xlnm.Print_Area" localSheetId="18">PyL!$A$1:$E$25</definedName>
    <definedName name="_xlnm.Print_Area" localSheetId="3">'Resol  Asuntos'!$A$1:$I$23</definedName>
    <definedName name="_xlnm.Print_Area" localSheetId="19">Resumen!$A$1:$BE$29</definedName>
    <definedName name="_xlnm.Print_Area" localSheetId="6">Tasas!$A$1:$F$24</definedName>
    <definedName name="boletin" localSheetId="13">Criterios!$A$8</definedName>
    <definedName name="boletin">Criterios!$A$8</definedName>
    <definedName name="D_I" localSheetId="13">Criterios!$B$14</definedName>
    <definedName name="D_I">Criterios!$B$14</definedName>
    <definedName name="factor_trimestre" localSheetId="13">Criterios!$R$8</definedName>
    <definedName name="factor_trimestre">Criterios!$R$8</definedName>
    <definedName name="J_V" localSheetId="13">Criterios!$B$13</definedName>
    <definedName name="J_V">Criterios!$B$13</definedName>
    <definedName name="jurisdiccion" localSheetId="13">Criterios!$E$8</definedName>
    <definedName name="jurisdiccion">Criterios!$E$8</definedName>
    <definedName name="Monitorios" localSheetId="13">Criterios!#REF!</definedName>
    <definedName name="Monitorios">Criterios!#REF!</definedName>
    <definedName name="salto" localSheetId="13">Criterios!$Q$10</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20">'Indicadores IV'!$C:$C,'Indicadores IV'!$5:$7</definedName>
    <definedName name="_xlnm.Print_Titles" localSheetId="21">'Indicadores IVP'!$C:$C,'Indicadores IVP'!$5:$7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 localSheetId="13">Criterios!$D$6</definedName>
    <definedName name="TrimFin">Criterios!$D$6</definedName>
    <definedName name="TrimIni" localSheetId="13">Criterios!$D$5</definedName>
    <definedName name="TrimIni">Criterios!$D$5</definedName>
    <definedName name="ULTIMODIA">Criterios!$Q$14</definedName>
    <definedName name="ultimoDiaTrim" localSheetId="13">Criterios!$Q$12</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6" i="28" l="1"/>
  <c r="D16" i="28"/>
  <c r="A16" i="28"/>
  <c r="AO16" i="20"/>
  <c r="U16" i="20"/>
  <c r="C16" i="20"/>
  <c r="A16" i="20"/>
  <c r="BW16" i="20" s="1"/>
  <c r="FL16" i="16"/>
  <c r="BX16" i="16"/>
  <c r="BW16" i="16"/>
  <c r="BU16" i="16"/>
  <c r="BT16" i="16"/>
  <c r="BQ16" i="16"/>
  <c r="BP16" i="16"/>
  <c r="BO16" i="16"/>
  <c r="BN16" i="16"/>
  <c r="BJ16" i="16"/>
  <c r="BG16" i="16"/>
  <c r="BF16" i="16"/>
  <c r="BE16" i="16"/>
  <c r="BD16" i="16"/>
  <c r="BC16" i="16"/>
  <c r="AW16" i="16"/>
  <c r="AV16" i="16"/>
  <c r="AU16" i="16"/>
  <c r="AT16" i="16"/>
  <c r="AS16" i="16"/>
  <c r="AM16" i="16"/>
  <c r="AF16" i="16"/>
  <c r="AC16" i="16"/>
  <c r="AB16" i="16"/>
  <c r="Z16" i="16"/>
  <c r="W16" i="16"/>
  <c r="U16" i="16"/>
  <c r="R16" i="16"/>
  <c r="BM16" i="16" s="1"/>
  <c r="Q16" i="16"/>
  <c r="P16" i="16"/>
  <c r="O16" i="16"/>
  <c r="M16" i="16"/>
  <c r="L16" i="16"/>
  <c r="J16" i="16"/>
  <c r="I16" i="16"/>
  <c r="G16" i="16"/>
  <c r="E16" i="16"/>
  <c r="C16" i="16"/>
  <c r="A16" i="16"/>
  <c r="BZ16" i="21"/>
  <c r="C16" i="21"/>
  <c r="A16" i="21"/>
  <c r="BZ16" i="27"/>
  <c r="AO16" i="27"/>
  <c r="U16" i="27"/>
  <c r="C16" i="27"/>
  <c r="A16" i="27"/>
  <c r="BZ16" i="17"/>
  <c r="AX16" i="17"/>
  <c r="AW16" i="17"/>
  <c r="AV16" i="17"/>
  <c r="AU16" i="17"/>
  <c r="AT16" i="17"/>
  <c r="AS16" i="17"/>
  <c r="AP16" i="17"/>
  <c r="AM16" i="17"/>
  <c r="AL16" i="17"/>
  <c r="AK16" i="17"/>
  <c r="AJ16" i="17"/>
  <c r="AF16" i="17"/>
  <c r="AE16" i="17"/>
  <c r="AA16" i="17"/>
  <c r="Z16" i="17"/>
  <c r="Y16" i="17"/>
  <c r="W16" i="17"/>
  <c r="T16" i="17"/>
  <c r="R16" i="17"/>
  <c r="O16" i="17"/>
  <c r="AR16" i="17" s="1"/>
  <c r="N16" i="17"/>
  <c r="M16" i="17"/>
  <c r="L16" i="17"/>
  <c r="K16" i="17"/>
  <c r="J16" i="17"/>
  <c r="I16" i="17"/>
  <c r="G16" i="17"/>
  <c r="E16" i="17"/>
  <c r="C16" i="17"/>
  <c r="A16" i="17"/>
  <c r="BZ16" i="26"/>
  <c r="BU16" i="26"/>
  <c r="BT16" i="26"/>
  <c r="BQ16" i="26"/>
  <c r="BP16" i="26"/>
  <c r="BO16" i="26"/>
  <c r="BN16" i="26"/>
  <c r="BJ16" i="26"/>
  <c r="BG16" i="26"/>
  <c r="BF16" i="26"/>
  <c r="BE16" i="26"/>
  <c r="BD16" i="26"/>
  <c r="BC16" i="26"/>
  <c r="AW16" i="26"/>
  <c r="AV16" i="26"/>
  <c r="AU16" i="26"/>
  <c r="AT16" i="26"/>
  <c r="AS16" i="26"/>
  <c r="AM16" i="26"/>
  <c r="AF16" i="26"/>
  <c r="AC16" i="26"/>
  <c r="AB16" i="26"/>
  <c r="Z16" i="26"/>
  <c r="W16" i="26"/>
  <c r="U16" i="26"/>
  <c r="R16" i="26"/>
  <c r="BM16" i="26" s="1"/>
  <c r="Q16" i="26"/>
  <c r="P16" i="26"/>
  <c r="O16" i="26"/>
  <c r="M16" i="26"/>
  <c r="L16" i="26"/>
  <c r="J16" i="26"/>
  <c r="I16" i="26"/>
  <c r="G16" i="26"/>
  <c r="E16" i="26"/>
  <c r="C16" i="26"/>
  <c r="A16" i="26"/>
  <c r="BZ16" i="14"/>
  <c r="AD16" i="14"/>
  <c r="AC16" i="14"/>
  <c r="AB16" i="14"/>
  <c r="AA16" i="14"/>
  <c r="Z16" i="14"/>
  <c r="Y16" i="14"/>
  <c r="X16" i="14"/>
  <c r="W16" i="14"/>
  <c r="T16" i="14"/>
  <c r="Q16" i="14"/>
  <c r="P16" i="14"/>
  <c r="O16" i="14"/>
  <c r="N16" i="14"/>
  <c r="M16" i="14"/>
  <c r="J16" i="14"/>
  <c r="I16" i="14"/>
  <c r="H16" i="14"/>
  <c r="G16" i="14"/>
  <c r="F16" i="14"/>
  <c r="E16" i="14"/>
  <c r="D16" i="14"/>
  <c r="B16" i="14"/>
  <c r="A16" i="14"/>
  <c r="H16" i="12"/>
  <c r="G16" i="12"/>
  <c r="F16" i="12"/>
  <c r="E16" i="12"/>
  <c r="D16" i="12"/>
  <c r="C16" i="12"/>
  <c r="AY16" i="11"/>
  <c r="AX16" i="11"/>
  <c r="AW16" i="11"/>
  <c r="AV16" i="11"/>
  <c r="AU16" i="11"/>
  <c r="AT16" i="11"/>
  <c r="AS16" i="11"/>
  <c r="AK16" i="11"/>
  <c r="AJ16" i="11"/>
  <c r="AI16" i="11"/>
  <c r="AH16" i="11"/>
  <c r="AG16" i="11"/>
  <c r="AF16" i="11"/>
  <c r="AE16" i="11"/>
  <c r="AD16" i="11"/>
  <c r="AB16" i="11"/>
  <c r="AA16" i="11"/>
  <c r="Z16" i="11"/>
  <c r="X16" i="11"/>
  <c r="W16" i="11"/>
  <c r="Y16" i="11" s="1"/>
  <c r="S16" i="11"/>
  <c r="R16" i="11"/>
  <c r="M16" i="11"/>
  <c r="AR16" i="11" s="1"/>
  <c r="L16" i="11"/>
  <c r="K16" i="11"/>
  <c r="J16" i="11"/>
  <c r="I16" i="11"/>
  <c r="H16" i="11"/>
  <c r="N16" i="11" s="1"/>
  <c r="G16" i="11"/>
  <c r="E16" i="11"/>
  <c r="C16" i="11"/>
  <c r="A16" i="11"/>
  <c r="A16" i="6"/>
  <c r="G16" i="7"/>
  <c r="F16" i="7"/>
  <c r="E16" i="7"/>
  <c r="D16" i="7"/>
  <c r="C16" i="7"/>
  <c r="B16" i="7"/>
  <c r="A16" i="7"/>
  <c r="D16" i="5"/>
  <c r="C16" i="5"/>
  <c r="B16" i="5"/>
  <c r="A16" i="5"/>
  <c r="BZ16" i="3"/>
  <c r="H16" i="3"/>
  <c r="F16" i="3"/>
  <c r="D16" i="3"/>
  <c r="C16" i="3"/>
  <c r="B16" i="3"/>
  <c r="A16" i="3"/>
  <c r="M16" i="10"/>
  <c r="H16" i="10"/>
  <c r="G16" i="10"/>
  <c r="E16" i="10"/>
  <c r="F16" i="10" s="1"/>
  <c r="D16" i="10"/>
  <c r="C16" i="10"/>
  <c r="B16" i="10"/>
  <c r="A16" i="10"/>
  <c r="BQ16" i="2"/>
  <c r="N16" i="2"/>
  <c r="M16" i="2"/>
  <c r="K16" i="2"/>
  <c r="I16" i="2"/>
  <c r="G16" i="2"/>
  <c r="E16" i="2"/>
  <c r="C16" i="2"/>
  <c r="D16" i="2" s="1"/>
  <c r="B16" i="2"/>
  <c r="A16" i="2"/>
  <c r="BC16" i="13"/>
  <c r="BB16" i="13"/>
  <c r="BA16" i="13"/>
  <c r="AZ16" i="13"/>
  <c r="AY16" i="13"/>
  <c r="BC16" i="8"/>
  <c r="BB16" i="8"/>
  <c r="BA16" i="8"/>
  <c r="BF16" i="8" s="1"/>
  <c r="AZ16" i="8"/>
  <c r="AY16" i="8"/>
  <c r="E19" i="28"/>
  <c r="D19" i="28"/>
  <c r="E18" i="28"/>
  <c r="D18" i="28"/>
  <c r="E17" i="28"/>
  <c r="D17" i="28"/>
  <c r="E15" i="28"/>
  <c r="D15" i="28"/>
  <c r="E14" i="28"/>
  <c r="D14" i="28"/>
  <c r="E13" i="28"/>
  <c r="D13" i="28"/>
  <c r="E12" i="28"/>
  <c r="D12" i="28"/>
  <c r="E11" i="28"/>
  <c r="D11" i="28"/>
  <c r="E10" i="28"/>
  <c r="D10" i="28"/>
  <c r="E9" i="28"/>
  <c r="D9" i="28"/>
  <c r="A4" i="28"/>
  <c r="C4" i="28"/>
  <c r="B4" i="28"/>
  <c r="A3" i="28"/>
  <c r="A9" i="28"/>
  <c r="A10" i="28"/>
  <c r="A11" i="28"/>
  <c r="A12" i="28"/>
  <c r="A13" i="28"/>
  <c r="A14" i="28"/>
  <c r="A15" i="28"/>
  <c r="A17" i="28"/>
  <c r="A18" i="28"/>
  <c r="A19" i="28"/>
  <c r="A8" i="28"/>
  <c r="C8" i="16"/>
  <c r="D6" i="28"/>
  <c r="D5" i="28"/>
  <c r="B5" i="28"/>
  <c r="E16" i="3" l="1"/>
  <c r="BF16" i="13"/>
  <c r="F16" i="16"/>
  <c r="BG16" i="13"/>
  <c r="BG16" i="8"/>
  <c r="H16" i="2"/>
  <c r="BL16" i="16"/>
  <c r="BE16" i="13"/>
  <c r="F16" i="26"/>
  <c r="BL16" i="26" s="1"/>
  <c r="BE16" i="8"/>
  <c r="I16" i="7" s="1"/>
  <c r="F16" i="17"/>
  <c r="AQ16" i="17" s="1"/>
  <c r="C16" i="14"/>
  <c r="K16" i="14" s="1"/>
  <c r="F16" i="11"/>
  <c r="AQ16" i="11" s="1"/>
  <c r="AP16" i="11"/>
  <c r="I16" i="3"/>
  <c r="G16" i="3"/>
  <c r="J16" i="10"/>
  <c r="L16" i="10" s="1"/>
  <c r="I16" i="10"/>
  <c r="K16" i="10" s="1"/>
  <c r="J16" i="7"/>
  <c r="C16" i="6"/>
  <c r="E16" i="6"/>
  <c r="AL16" i="11"/>
  <c r="AN16" i="11"/>
  <c r="BI16" i="26"/>
  <c r="F16" i="2"/>
  <c r="J16" i="2"/>
  <c r="K16" i="7"/>
  <c r="B16" i="6"/>
  <c r="D16" i="6"/>
  <c r="J16" i="12" s="1"/>
  <c r="AO16" i="11"/>
  <c r="L16" i="14"/>
  <c r="BI16" i="16"/>
  <c r="BX16" i="20"/>
  <c r="AC16" i="11"/>
  <c r="BD16" i="13"/>
  <c r="BD16" i="8"/>
  <c r="H16" i="7" s="1"/>
  <c r="K16" i="12" l="1"/>
  <c r="I16" i="12"/>
  <c r="I12" i="16" l="1"/>
  <c r="I11" i="16"/>
  <c r="I10" i="16"/>
  <c r="I9" i="16"/>
  <c r="BB18" i="20" l="1"/>
  <c r="BB17" i="20"/>
  <c r="BW14" i="20" l="1"/>
  <c r="C31" i="27"/>
  <c r="BB27" i="27"/>
  <c r="BA27" i="27"/>
  <c r="AZ27" i="27"/>
  <c r="AY27" i="27"/>
  <c r="AX27" i="27"/>
  <c r="AW27" i="27"/>
  <c r="AV27" i="27"/>
  <c r="AU27" i="27"/>
  <c r="AT27" i="27"/>
  <c r="AS27" i="27"/>
  <c r="AR27" i="27"/>
  <c r="AQ27" i="27"/>
  <c r="AP27" i="27"/>
  <c r="AO27" i="27"/>
  <c r="AN27" i="27"/>
  <c r="AM27" i="27"/>
  <c r="AL27" i="27"/>
  <c r="AK27" i="27"/>
  <c r="AJ27" i="27"/>
  <c r="AI27" i="27"/>
  <c r="AH27" i="27"/>
  <c r="AG27" i="27"/>
  <c r="AF27" i="27"/>
  <c r="AE27" i="27"/>
  <c r="AD27" i="27"/>
  <c r="AC27" i="27"/>
  <c r="AB27" i="27"/>
  <c r="AA27" i="27"/>
  <c r="Z27" i="27"/>
  <c r="Y27" i="27"/>
  <c r="X27" i="27"/>
  <c r="W27" i="27"/>
  <c r="V27" i="27"/>
  <c r="U27" i="27"/>
  <c r="T27" i="27"/>
  <c r="S27" i="27"/>
  <c r="R27" i="27"/>
  <c r="Q27" i="27"/>
  <c r="P27" i="27"/>
  <c r="O27" i="27"/>
  <c r="N27" i="27"/>
  <c r="M27" i="27"/>
  <c r="L27" i="27"/>
  <c r="K27" i="27"/>
  <c r="J27" i="27"/>
  <c r="I27" i="27"/>
  <c r="H27" i="27"/>
  <c r="G27" i="27"/>
  <c r="F27" i="27"/>
  <c r="E27" i="27"/>
  <c r="BB26" i="27"/>
  <c r="BA26" i="27"/>
  <c r="AZ26" i="27"/>
  <c r="AY26" i="27"/>
  <c r="AX26" i="27"/>
  <c r="AW26" i="27"/>
  <c r="AV26" i="27"/>
  <c r="AU26" i="27"/>
  <c r="AT26" i="27"/>
  <c r="AS26" i="27"/>
  <c r="AR26" i="27"/>
  <c r="AQ26" i="27"/>
  <c r="AP26" i="27"/>
  <c r="AO26" i="27"/>
  <c r="AN26" i="27"/>
  <c r="AM26" i="27"/>
  <c r="AL26" i="27"/>
  <c r="AK26" i="27"/>
  <c r="AJ26" i="27"/>
  <c r="AI26" i="27"/>
  <c r="AH26" i="27"/>
  <c r="AG26" i="27"/>
  <c r="AF26" i="27"/>
  <c r="AE26" i="27"/>
  <c r="AD26" i="27"/>
  <c r="AC26" i="27"/>
  <c r="AB26" i="27"/>
  <c r="AA26" i="27"/>
  <c r="Z26" i="27"/>
  <c r="Y26" i="27"/>
  <c r="X26" i="27"/>
  <c r="W26" i="27"/>
  <c r="V26" i="27"/>
  <c r="U26" i="27"/>
  <c r="T26" i="27"/>
  <c r="S26" i="27"/>
  <c r="R26" i="27"/>
  <c r="Q26" i="27"/>
  <c r="P26" i="27"/>
  <c r="O26" i="27"/>
  <c r="N26" i="27"/>
  <c r="M26" i="27"/>
  <c r="L26" i="27"/>
  <c r="K26" i="27"/>
  <c r="J26" i="27"/>
  <c r="I26" i="27"/>
  <c r="H26" i="27"/>
  <c r="G26" i="27"/>
  <c r="F26" i="27"/>
  <c r="E26" i="27"/>
  <c r="C20" i="27"/>
  <c r="C19" i="27"/>
  <c r="AY19" i="27"/>
  <c r="BZ18" i="27"/>
  <c r="BC18" i="27"/>
  <c r="BB18" i="27"/>
  <c r="AX18" i="27"/>
  <c r="AW18" i="27"/>
  <c r="AV18" i="27"/>
  <c r="AU18" i="27"/>
  <c r="AR18" i="27"/>
  <c r="AQ18" i="27"/>
  <c r="AO18" i="27"/>
  <c r="AN18" i="27"/>
  <c r="AM18" i="27"/>
  <c r="AL18" i="27"/>
  <c r="AK18" i="27"/>
  <c r="AG18" i="27"/>
  <c r="AF18" i="27"/>
  <c r="AE18" i="27"/>
  <c r="AD18" i="27"/>
  <c r="AC18" i="27"/>
  <c r="AB18" i="27"/>
  <c r="AA18" i="27"/>
  <c r="Z18" i="27"/>
  <c r="Y18" i="27"/>
  <c r="W18" i="27"/>
  <c r="U18" i="27"/>
  <c r="P18" i="27"/>
  <c r="AT18" i="27" s="1"/>
  <c r="O18" i="27"/>
  <c r="N18" i="27"/>
  <c r="N19" i="27" s="1"/>
  <c r="M18" i="27"/>
  <c r="M19" i="27" s="1"/>
  <c r="L18" i="27"/>
  <c r="K18" i="27"/>
  <c r="J18" i="27"/>
  <c r="I18" i="27"/>
  <c r="G18" i="27"/>
  <c r="E18" i="27"/>
  <c r="S18" i="27" s="1"/>
  <c r="C18" i="27"/>
  <c r="A18" i="27"/>
  <c r="BZ17" i="27"/>
  <c r="BC17" i="27"/>
  <c r="BB17" i="27"/>
  <c r="AX17" i="27"/>
  <c r="AW17" i="27"/>
  <c r="AV17" i="27"/>
  <c r="AU17" i="27"/>
  <c r="AR17" i="27"/>
  <c r="AQ17" i="27"/>
  <c r="AO17" i="27"/>
  <c r="AN17" i="27"/>
  <c r="AM17" i="27"/>
  <c r="AL17" i="27"/>
  <c r="AK17" i="27"/>
  <c r="AG17" i="27"/>
  <c r="AF17" i="27"/>
  <c r="AE17" i="27"/>
  <c r="AD17" i="27"/>
  <c r="AC17" i="27"/>
  <c r="AB17" i="27"/>
  <c r="AA17" i="27"/>
  <c r="Z17" i="27"/>
  <c r="Y17" i="27"/>
  <c r="W17" i="27"/>
  <c r="U17" i="27"/>
  <c r="P17" i="27"/>
  <c r="O17" i="27"/>
  <c r="L17" i="27"/>
  <c r="K17" i="27"/>
  <c r="J17" i="27"/>
  <c r="I17" i="27"/>
  <c r="G17" i="27"/>
  <c r="E17" i="27"/>
  <c r="C17" i="27"/>
  <c r="A17" i="27"/>
  <c r="BZ15" i="27"/>
  <c r="AO15" i="27"/>
  <c r="U15" i="27"/>
  <c r="C15" i="27"/>
  <c r="A15" i="27"/>
  <c r="C14" i="27"/>
  <c r="BA13" i="27"/>
  <c r="AZ13" i="27"/>
  <c r="AY13" i="27"/>
  <c r="AV13" i="27"/>
  <c r="AU13" i="27"/>
  <c r="AT13" i="27"/>
  <c r="AA13" i="27"/>
  <c r="V13" i="27"/>
  <c r="U13" i="27"/>
  <c r="R13" i="27"/>
  <c r="Q13" i="27"/>
  <c r="N13" i="27"/>
  <c r="M13" i="27"/>
  <c r="K13" i="27"/>
  <c r="J13" i="27"/>
  <c r="I13" i="27"/>
  <c r="H13" i="27"/>
  <c r="G13" i="27"/>
  <c r="F13" i="27"/>
  <c r="E13" i="27"/>
  <c r="C13" i="27"/>
  <c r="AX13" i="27"/>
  <c r="AW13" i="27"/>
  <c r="AN13" i="27"/>
  <c r="AM13" i="27"/>
  <c r="AL13" i="27"/>
  <c r="AK13" i="27"/>
  <c r="AE13" i="27"/>
  <c r="AD13" i="27"/>
  <c r="AC13" i="27"/>
  <c r="AB13" i="27"/>
  <c r="Z13" i="27"/>
  <c r="Y13" i="27"/>
  <c r="S13" i="27"/>
  <c r="L13" i="27"/>
  <c r="BZ12" i="27"/>
  <c r="C12" i="27"/>
  <c r="A12" i="27"/>
  <c r="BZ11" i="27"/>
  <c r="C11" i="27"/>
  <c r="A11" i="27"/>
  <c r="BZ10" i="27"/>
  <c r="C10" i="27"/>
  <c r="A10" i="27"/>
  <c r="BZ9" i="27"/>
  <c r="C9" i="27"/>
  <c r="A9" i="27"/>
  <c r="C8" i="27"/>
  <c r="C7" i="27"/>
  <c r="C5" i="27"/>
  <c r="C2" i="27"/>
  <c r="C1" i="27"/>
  <c r="BA22" i="27" l="1"/>
  <c r="AV19" i="27"/>
  <c r="H19" i="27"/>
  <c r="H20" i="27" s="1"/>
  <c r="AH19" i="27"/>
  <c r="AQ19" i="27"/>
  <c r="AI19" i="27"/>
  <c r="AE19" i="27"/>
  <c r="AE22" i="27" s="1"/>
  <c r="M20" i="27"/>
  <c r="AZ19" i="27"/>
  <c r="AZ20" i="27" s="1"/>
  <c r="AY20" i="27"/>
  <c r="AD19" i="27"/>
  <c r="BA20" i="27"/>
  <c r="AF19" i="27"/>
  <c r="AW19" i="27"/>
  <c r="AN19" i="27"/>
  <c r="AN20" i="27" s="1"/>
  <c r="AG19" i="27"/>
  <c r="Y19" i="27"/>
  <c r="Y22" i="27" s="1"/>
  <c r="AJ19" i="27"/>
  <c r="AV20" i="27"/>
  <c r="AB19" i="27"/>
  <c r="AB20" i="27" s="1"/>
  <c r="L19" i="27"/>
  <c r="E19" i="27"/>
  <c r="G19" i="27"/>
  <c r="G22" i="27" s="1"/>
  <c r="AC19" i="27"/>
  <c r="AC22" i="27" s="1"/>
  <c r="AU19" i="27"/>
  <c r="AU20" i="27" s="1"/>
  <c r="Z19" i="27"/>
  <c r="Z20" i="27" s="1"/>
  <c r="AG13" i="27"/>
  <c r="AG20" i="27" s="1"/>
  <c r="O13" i="27"/>
  <c r="BC22" i="27"/>
  <c r="O19" i="27"/>
  <c r="F17" i="27"/>
  <c r="P13" i="27"/>
  <c r="AR19" i="27"/>
  <c r="I19" i="27"/>
  <c r="I20" i="27" s="1"/>
  <c r="F18" i="27"/>
  <c r="AS18" i="27" s="1"/>
  <c r="K19" i="27"/>
  <c r="AF13" i="27"/>
  <c r="P19" i="27"/>
  <c r="BB22" i="27"/>
  <c r="N20" i="27"/>
  <c r="AD22" i="27"/>
  <c r="AK19" i="27"/>
  <c r="AK20" i="27" s="1"/>
  <c r="AX19" i="27"/>
  <c r="AL19" i="27"/>
  <c r="AL20" i="27" s="1"/>
  <c r="AM19" i="27"/>
  <c r="AM22" i="27" s="1"/>
  <c r="AI13" i="27"/>
  <c r="AD20" i="27"/>
  <c r="U19" i="27"/>
  <c r="W13" i="27"/>
  <c r="J19" i="27"/>
  <c r="J22" i="27" s="1"/>
  <c r="AS13" i="27"/>
  <c r="AH13" i="27"/>
  <c r="W19" i="27"/>
  <c r="S17" i="27"/>
  <c r="AT17" i="27"/>
  <c r="AJ13" i="27"/>
  <c r="AA19" i="27"/>
  <c r="AA20" i="27" s="1"/>
  <c r="Q14" i="9"/>
  <c r="BT18" i="16"/>
  <c r="BT17" i="16"/>
  <c r="BT15" i="16"/>
  <c r="BT12" i="16"/>
  <c r="BT11" i="16"/>
  <c r="BT10" i="16"/>
  <c r="BT9" i="16"/>
  <c r="BX18" i="16"/>
  <c r="BX17" i="16"/>
  <c r="BX15" i="16"/>
  <c r="BW18" i="16"/>
  <c r="BW17" i="16"/>
  <c r="BW15" i="16"/>
  <c r="AC20" i="27" l="1"/>
  <c r="AN22" i="27"/>
  <c r="AH20" i="27"/>
  <c r="AI20" i="27"/>
  <c r="P20" i="27"/>
  <c r="AF20" i="27"/>
  <c r="AE20" i="27"/>
  <c r="Y20" i="27"/>
  <c r="J20" i="27"/>
  <c r="AK22" i="27"/>
  <c r="AJ20" i="27"/>
  <c r="G20" i="27"/>
  <c r="G21" i="27"/>
  <c r="O20" i="27"/>
  <c r="S19" i="27"/>
  <c r="S20" i="27" s="1"/>
  <c r="AM20" i="27"/>
  <c r="F19" i="27"/>
  <c r="F22" i="27" s="1"/>
  <c r="AS17" i="27"/>
  <c r="I22" i="27"/>
  <c r="AX9" i="16"/>
  <c r="F20" i="27" l="1"/>
  <c r="AW22" i="27"/>
  <c r="U20" i="27"/>
  <c r="AS19" i="27"/>
  <c r="E20" i="27"/>
  <c r="W22" i="27"/>
  <c r="AT9" i="16"/>
  <c r="AT10" i="16"/>
  <c r="AT11" i="16"/>
  <c r="AT12" i="16"/>
  <c r="G12" i="21"/>
  <c r="AF11" i="21"/>
  <c r="G11" i="21"/>
  <c r="AF9" i="21"/>
  <c r="G9" i="21"/>
  <c r="AA9" i="17"/>
  <c r="Y9" i="17"/>
  <c r="G9" i="17"/>
  <c r="AF9" i="26"/>
  <c r="AB9" i="26"/>
  <c r="G9" i="26"/>
  <c r="AB12" i="16"/>
  <c r="G12" i="16"/>
  <c r="AF11" i="16"/>
  <c r="AB11" i="16"/>
  <c r="G11" i="16"/>
  <c r="AF9" i="16"/>
  <c r="AB9" i="16"/>
  <c r="G9" i="16"/>
  <c r="H9" i="14"/>
  <c r="F9" i="14"/>
  <c r="E9" i="14"/>
  <c r="D9" i="14"/>
  <c r="P12" i="12"/>
  <c r="O12" i="12"/>
  <c r="N12" i="12"/>
  <c r="M12" i="12"/>
  <c r="P11" i="12"/>
  <c r="O11" i="12"/>
  <c r="N11" i="12"/>
  <c r="M11" i="12"/>
  <c r="P9" i="12"/>
  <c r="O9" i="12"/>
  <c r="N9" i="12"/>
  <c r="M9" i="12"/>
  <c r="AA9" i="11"/>
  <c r="W9" i="11"/>
  <c r="G9" i="11"/>
  <c r="AA12" i="11"/>
  <c r="W12" i="11"/>
  <c r="G12" i="11"/>
  <c r="AA11" i="11"/>
  <c r="W11" i="11"/>
  <c r="G11" i="11"/>
  <c r="H12" i="14"/>
  <c r="F12" i="14"/>
  <c r="E12" i="14"/>
  <c r="D12" i="14"/>
  <c r="H11" i="14"/>
  <c r="F11" i="14"/>
  <c r="E11" i="14"/>
  <c r="D11" i="14"/>
  <c r="AF12" i="16"/>
  <c r="AF12" i="26"/>
  <c r="AB12" i="26"/>
  <c r="G12" i="26"/>
  <c r="AF11" i="26"/>
  <c r="AB11" i="26"/>
  <c r="G11" i="26"/>
  <c r="AA12" i="17"/>
  <c r="Y12" i="17"/>
  <c r="G12" i="17"/>
  <c r="AA11" i="17"/>
  <c r="Y11" i="17"/>
  <c r="G11" i="17"/>
  <c r="AF12" i="21"/>
  <c r="AB12" i="21"/>
  <c r="AJ9" i="16"/>
  <c r="AJ12" i="16"/>
  <c r="C31" i="26"/>
  <c r="C20" i="26"/>
  <c r="C19" i="26"/>
  <c r="AY19" i="26"/>
  <c r="BS19" i="26"/>
  <c r="H19" i="26"/>
  <c r="BZ18" i="26"/>
  <c r="BU18" i="26"/>
  <c r="BT18" i="26"/>
  <c r="BQ18" i="26"/>
  <c r="BP18" i="26"/>
  <c r="BO18" i="26"/>
  <c r="BN18" i="26"/>
  <c r="BJ18" i="26"/>
  <c r="BG18" i="26"/>
  <c r="BF18" i="26"/>
  <c r="BE18" i="26"/>
  <c r="BD18" i="26"/>
  <c r="BC18" i="26"/>
  <c r="AW18" i="26"/>
  <c r="AV18" i="26"/>
  <c r="AU18" i="26"/>
  <c r="AT18" i="26"/>
  <c r="AS18" i="26"/>
  <c r="AM18" i="26"/>
  <c r="AF18" i="26"/>
  <c r="AC18" i="26"/>
  <c r="AB18" i="26"/>
  <c r="Z18" i="26"/>
  <c r="W18" i="26"/>
  <c r="U18" i="26"/>
  <c r="R18" i="26"/>
  <c r="BM18" i="26" s="1"/>
  <c r="Q18" i="26"/>
  <c r="P18" i="26"/>
  <c r="O18" i="26"/>
  <c r="M18" i="26"/>
  <c r="L18" i="26"/>
  <c r="J18" i="26"/>
  <c r="I18" i="26"/>
  <c r="G18" i="26"/>
  <c r="E18" i="26"/>
  <c r="C18" i="26"/>
  <c r="A18" i="26"/>
  <c r="BZ17" i="26"/>
  <c r="BU17" i="26"/>
  <c r="BT17" i="26"/>
  <c r="BQ17" i="26"/>
  <c r="BP17" i="26"/>
  <c r="BO17" i="26"/>
  <c r="BN17" i="26"/>
  <c r="BJ17" i="26"/>
  <c r="BG17" i="26"/>
  <c r="BF17" i="26"/>
  <c r="BE17" i="26"/>
  <c r="BD17" i="26"/>
  <c r="BC17" i="26"/>
  <c r="AW17" i="26"/>
  <c r="AV17" i="26"/>
  <c r="AU17" i="26"/>
  <c r="AT17" i="26"/>
  <c r="AS17" i="26"/>
  <c r="AM17" i="26"/>
  <c r="AF17" i="26"/>
  <c r="AC17" i="26"/>
  <c r="AB17" i="26"/>
  <c r="Z17" i="26"/>
  <c r="W17" i="26"/>
  <c r="U17" i="26"/>
  <c r="R17" i="26"/>
  <c r="BM17" i="26" s="1"/>
  <c r="Q17" i="26"/>
  <c r="M17" i="26"/>
  <c r="L17" i="26"/>
  <c r="J17" i="26"/>
  <c r="I17" i="26"/>
  <c r="G17" i="26"/>
  <c r="E17" i="26"/>
  <c r="C17" i="26"/>
  <c r="A17" i="26"/>
  <c r="BZ15" i="26"/>
  <c r="BU15" i="26"/>
  <c r="BT15" i="26"/>
  <c r="BQ15" i="26"/>
  <c r="BP15" i="26"/>
  <c r="BO15" i="26"/>
  <c r="BN15" i="26"/>
  <c r="BJ15" i="26"/>
  <c r="BG15" i="26"/>
  <c r="BF15" i="26"/>
  <c r="BE15" i="26"/>
  <c r="BD15" i="26"/>
  <c r="BC15" i="26"/>
  <c r="AW15" i="26"/>
  <c r="AV15" i="26"/>
  <c r="AU15" i="26"/>
  <c r="AT15" i="26"/>
  <c r="AS15" i="26"/>
  <c r="AM15" i="26"/>
  <c r="AF15" i="26"/>
  <c r="AC15" i="26"/>
  <c r="AB15" i="26"/>
  <c r="Z15" i="26"/>
  <c r="W15" i="26"/>
  <c r="U15" i="26"/>
  <c r="R15" i="26"/>
  <c r="BM15" i="26" s="1"/>
  <c r="Q15" i="26"/>
  <c r="P15" i="26"/>
  <c r="P19" i="26" s="1"/>
  <c r="O15" i="26"/>
  <c r="M15" i="26"/>
  <c r="L15" i="26"/>
  <c r="J15" i="26"/>
  <c r="I15" i="26"/>
  <c r="G15" i="26"/>
  <c r="E15" i="26"/>
  <c r="C15" i="26"/>
  <c r="A15" i="26"/>
  <c r="BZ14" i="26"/>
  <c r="C14" i="26"/>
  <c r="C13" i="26"/>
  <c r="AQ13" i="26"/>
  <c r="AP13" i="26"/>
  <c r="AN13" i="26"/>
  <c r="BZ12" i="26"/>
  <c r="BU12" i="26"/>
  <c r="BT12" i="26"/>
  <c r="BQ12" i="26"/>
  <c r="BP12" i="26"/>
  <c r="BM12" i="26"/>
  <c r="BK12" i="26"/>
  <c r="BJ12" i="26"/>
  <c r="BG12" i="26"/>
  <c r="BF12" i="26"/>
  <c r="BE12" i="26"/>
  <c r="BD12" i="26"/>
  <c r="BC12" i="26"/>
  <c r="AZ12" i="26"/>
  <c r="AY12" i="26"/>
  <c r="AX12" i="26"/>
  <c r="AW12" i="26"/>
  <c r="AV12" i="26"/>
  <c r="AU12" i="26"/>
  <c r="AT12" i="26"/>
  <c r="AS12" i="26"/>
  <c r="AM12" i="26"/>
  <c r="AJ12" i="26"/>
  <c r="AI12" i="26"/>
  <c r="AH12" i="26"/>
  <c r="AE12" i="26"/>
  <c r="AD12" i="26"/>
  <c r="AC12" i="26"/>
  <c r="Z12" i="26"/>
  <c r="Y12" i="26"/>
  <c r="W12" i="26"/>
  <c r="U12" i="26"/>
  <c r="R12" i="26"/>
  <c r="Q12" i="26"/>
  <c r="N12" i="26"/>
  <c r="M12" i="26"/>
  <c r="L12" i="26"/>
  <c r="K12" i="26"/>
  <c r="J12" i="26"/>
  <c r="I12" i="26"/>
  <c r="E12" i="26"/>
  <c r="C12" i="26"/>
  <c r="A12" i="26"/>
  <c r="BZ11" i="26"/>
  <c r="BU11" i="26"/>
  <c r="BT11" i="26"/>
  <c r="BQ11" i="26"/>
  <c r="BP11" i="26"/>
  <c r="BM11" i="26"/>
  <c r="BK11" i="26"/>
  <c r="BJ11" i="26"/>
  <c r="BG11" i="26"/>
  <c r="BF11" i="26"/>
  <c r="BE11" i="26"/>
  <c r="BD11" i="26"/>
  <c r="BC11" i="26"/>
  <c r="AZ11" i="26"/>
  <c r="AY11" i="26"/>
  <c r="AX11" i="26"/>
  <c r="AW11" i="26"/>
  <c r="AV11" i="26"/>
  <c r="AU11" i="26"/>
  <c r="AT11" i="26"/>
  <c r="AS11" i="26"/>
  <c r="AM11" i="26"/>
  <c r="AH11" i="26"/>
  <c r="AC11" i="26"/>
  <c r="Z11" i="26"/>
  <c r="W11" i="26"/>
  <c r="U11" i="26"/>
  <c r="R11" i="26"/>
  <c r="Q11" i="26"/>
  <c r="N11" i="26"/>
  <c r="M11" i="26"/>
  <c r="L11" i="26"/>
  <c r="K11" i="26"/>
  <c r="J11" i="26"/>
  <c r="I11" i="26"/>
  <c r="E11" i="26"/>
  <c r="C11" i="26"/>
  <c r="A11" i="26"/>
  <c r="AR13" i="26"/>
  <c r="BZ10" i="26"/>
  <c r="BU10" i="26"/>
  <c r="BT10" i="26"/>
  <c r="BQ10" i="26"/>
  <c r="BP10" i="26"/>
  <c r="BM10" i="26"/>
  <c r="BK10" i="26"/>
  <c r="BJ10" i="26"/>
  <c r="BG10" i="26"/>
  <c r="BF10" i="26"/>
  <c r="BE10" i="26"/>
  <c r="BD10" i="26"/>
  <c r="BC10" i="26"/>
  <c r="AZ10" i="26"/>
  <c r="AY10" i="26"/>
  <c r="AX10" i="26"/>
  <c r="AW10" i="26"/>
  <c r="AV10" i="26"/>
  <c r="AU10" i="26"/>
  <c r="AT10" i="26"/>
  <c r="AS10" i="26"/>
  <c r="AM10" i="26"/>
  <c r="AF10" i="26"/>
  <c r="AC10" i="26"/>
  <c r="AB10" i="26"/>
  <c r="Z10" i="26"/>
  <c r="W10" i="26"/>
  <c r="U10" i="26"/>
  <c r="R10" i="26"/>
  <c r="Q10" i="26"/>
  <c r="M10" i="26"/>
  <c r="L10" i="26"/>
  <c r="K10" i="26"/>
  <c r="J10" i="26"/>
  <c r="I10" i="26"/>
  <c r="G10" i="26"/>
  <c r="F10" i="26"/>
  <c r="E10" i="26"/>
  <c r="C10" i="26"/>
  <c r="A10" i="26"/>
  <c r="P13" i="26"/>
  <c r="BZ9" i="26"/>
  <c r="BU9" i="26"/>
  <c r="BT9" i="26"/>
  <c r="BQ9" i="26"/>
  <c r="BP9" i="26"/>
  <c r="BM9" i="26"/>
  <c r="BK9" i="26"/>
  <c r="BJ9" i="26"/>
  <c r="BG9" i="26"/>
  <c r="BF9" i="26"/>
  <c r="BE9" i="26"/>
  <c r="BD9" i="26"/>
  <c r="BC9" i="26"/>
  <c r="AZ9" i="26"/>
  <c r="AY9" i="26"/>
  <c r="AX9" i="26"/>
  <c r="AW9" i="26"/>
  <c r="AV9" i="26"/>
  <c r="AU9" i="26"/>
  <c r="AT9" i="26"/>
  <c r="AS9" i="26"/>
  <c r="AM9" i="26"/>
  <c r="AJ9" i="26"/>
  <c r="AI9" i="26"/>
  <c r="AH9" i="26"/>
  <c r="AE9" i="26"/>
  <c r="AD9" i="26"/>
  <c r="AC9" i="26"/>
  <c r="Z9" i="26"/>
  <c r="Y9" i="26"/>
  <c r="W9" i="26"/>
  <c r="U9" i="26"/>
  <c r="R9" i="26"/>
  <c r="Q9" i="26"/>
  <c r="N9" i="26"/>
  <c r="M9" i="26"/>
  <c r="L9" i="26"/>
  <c r="K9" i="26"/>
  <c r="J9" i="26"/>
  <c r="I9" i="26"/>
  <c r="E9" i="26"/>
  <c r="C9" i="26"/>
  <c r="A9" i="26"/>
  <c r="C8" i="26"/>
  <c r="C7" i="26"/>
  <c r="C5" i="26"/>
  <c r="C2" i="26"/>
  <c r="C1" i="26"/>
  <c r="BT27" i="26"/>
  <c r="BS27" i="26"/>
  <c r="BR27" i="26"/>
  <c r="BQ27" i="26"/>
  <c r="BP27" i="26"/>
  <c r="BO27" i="26"/>
  <c r="BN27" i="26"/>
  <c r="BM27" i="26"/>
  <c r="BL27" i="26"/>
  <c r="BK27" i="26"/>
  <c r="BJ27" i="26"/>
  <c r="BI27" i="26"/>
  <c r="BH27" i="26"/>
  <c r="BG27" i="26"/>
  <c r="BF27" i="26"/>
  <c r="BE27" i="26"/>
  <c r="BD27" i="26"/>
  <c r="BC27" i="26"/>
  <c r="BB27" i="26"/>
  <c r="BA27" i="26"/>
  <c r="AZ27" i="26"/>
  <c r="AY27" i="26"/>
  <c r="AX27" i="26"/>
  <c r="AW27" i="26"/>
  <c r="AV27" i="26"/>
  <c r="AU27" i="26"/>
  <c r="AT27" i="26"/>
  <c r="AS27" i="26"/>
  <c r="AR27" i="26"/>
  <c r="AQ27" i="26"/>
  <c r="AP27" i="26"/>
  <c r="AO27" i="26"/>
  <c r="AN27" i="26"/>
  <c r="AM27" i="26"/>
  <c r="AL27" i="26"/>
  <c r="AK27" i="26"/>
  <c r="AI27" i="26"/>
  <c r="AH27" i="26"/>
  <c r="AG27" i="26"/>
  <c r="AF27" i="26"/>
  <c r="AD27" i="26"/>
  <c r="AC27" i="26"/>
  <c r="AB27" i="26"/>
  <c r="AA27" i="26"/>
  <c r="Z27" i="26"/>
  <c r="Y27" i="26"/>
  <c r="X27" i="26"/>
  <c r="W27" i="26"/>
  <c r="V27" i="26"/>
  <c r="U27" i="26"/>
  <c r="T27" i="26"/>
  <c r="S27" i="26"/>
  <c r="R27" i="26"/>
  <c r="Q27" i="26"/>
  <c r="P27" i="26"/>
  <c r="O27" i="26"/>
  <c r="N27" i="26"/>
  <c r="M27" i="26"/>
  <c r="L27" i="26"/>
  <c r="K27" i="26"/>
  <c r="J27" i="26"/>
  <c r="I27" i="26"/>
  <c r="H27" i="26"/>
  <c r="G27" i="26"/>
  <c r="F27" i="26"/>
  <c r="E27" i="26"/>
  <c r="BV26" i="26"/>
  <c r="BV27" i="26" s="1"/>
  <c r="BU26" i="26"/>
  <c r="BU27" i="26" s="1"/>
  <c r="BT26" i="26"/>
  <c r="BS26" i="26"/>
  <c r="BR26" i="26"/>
  <c r="BQ26" i="26"/>
  <c r="BP26" i="26"/>
  <c r="BO26" i="26"/>
  <c r="BN26" i="26"/>
  <c r="BM26" i="26"/>
  <c r="BL26" i="26"/>
  <c r="BK26" i="26"/>
  <c r="BJ26" i="26"/>
  <c r="BI26" i="26"/>
  <c r="BH26" i="26"/>
  <c r="BG26" i="26"/>
  <c r="BF26" i="26"/>
  <c r="BE26" i="26"/>
  <c r="BD26" i="26"/>
  <c r="BC26" i="26"/>
  <c r="BB26" i="26"/>
  <c r="BA26" i="26"/>
  <c r="AZ26" i="26"/>
  <c r="AY26" i="26"/>
  <c r="AX26" i="26"/>
  <c r="AW26" i="26"/>
  <c r="AV26" i="26"/>
  <c r="AU26" i="26"/>
  <c r="AT26" i="26"/>
  <c r="AS26" i="26"/>
  <c r="AR26" i="26"/>
  <c r="AQ26" i="26"/>
  <c r="AP26" i="26"/>
  <c r="AO26" i="26"/>
  <c r="AN26" i="26"/>
  <c r="AM26" i="26"/>
  <c r="AL26" i="26"/>
  <c r="AK26" i="26"/>
  <c r="AI26" i="26"/>
  <c r="AH26" i="26"/>
  <c r="AG26" i="26"/>
  <c r="AF26" i="26"/>
  <c r="AD26" i="26"/>
  <c r="AC26" i="26"/>
  <c r="AB26" i="26"/>
  <c r="AA26" i="26"/>
  <c r="Z26" i="26"/>
  <c r="Y26" i="26"/>
  <c r="X26" i="26"/>
  <c r="W26" i="26"/>
  <c r="V26" i="26"/>
  <c r="U26" i="26"/>
  <c r="T26" i="26"/>
  <c r="S26" i="26"/>
  <c r="R26" i="26"/>
  <c r="Q26" i="26"/>
  <c r="P26" i="26"/>
  <c r="O26" i="26"/>
  <c r="N26" i="26"/>
  <c r="M26" i="26"/>
  <c r="L26" i="26"/>
  <c r="K26" i="26"/>
  <c r="J26" i="26"/>
  <c r="I26" i="26"/>
  <c r="H26" i="26"/>
  <c r="G26" i="26"/>
  <c r="F26" i="26"/>
  <c r="E26" i="26"/>
  <c r="BR19" i="26"/>
  <c r="BK19" i="26"/>
  <c r="BB19" i="26"/>
  <c r="BA19" i="26"/>
  <c r="AR19" i="26"/>
  <c r="AQ19" i="26"/>
  <c r="AP19" i="26"/>
  <c r="AO19" i="26"/>
  <c r="AN19" i="26"/>
  <c r="AL19" i="26"/>
  <c r="AK19" i="26"/>
  <c r="AJ19" i="26"/>
  <c r="AI19" i="26"/>
  <c r="AH19" i="26"/>
  <c r="AG19" i="26"/>
  <c r="AE19" i="26"/>
  <c r="AD19" i="26"/>
  <c r="Y19" i="26"/>
  <c r="N19" i="26"/>
  <c r="K19" i="26"/>
  <c r="BS13" i="26"/>
  <c r="BR13" i="26"/>
  <c r="BO13" i="26"/>
  <c r="BN13" i="26"/>
  <c r="O13" i="26"/>
  <c r="H13" i="26"/>
  <c r="BB13" i="26"/>
  <c r="AO13" i="26"/>
  <c r="AG13" i="26" l="1"/>
  <c r="AX19" i="26"/>
  <c r="AZ19" i="26"/>
  <c r="BB20" i="26"/>
  <c r="AW20" i="27"/>
  <c r="L20" i="27"/>
  <c r="E22" i="27"/>
  <c r="M19" i="26"/>
  <c r="O19" i="26"/>
  <c r="AU19" i="26"/>
  <c r="R13" i="26"/>
  <c r="AV19" i="26"/>
  <c r="AW19" i="26"/>
  <c r="Q13" i="26"/>
  <c r="BE13" i="26"/>
  <c r="AT13" i="26"/>
  <c r="BP19" i="26"/>
  <c r="F18" i="26"/>
  <c r="BL18" i="26" s="1"/>
  <c r="BF19" i="26"/>
  <c r="AS19" i="26"/>
  <c r="J19" i="26"/>
  <c r="AT19" i="26"/>
  <c r="L19" i="26"/>
  <c r="I19" i="26"/>
  <c r="BM13" i="26"/>
  <c r="AE13" i="26"/>
  <c r="AE20" i="26" s="1"/>
  <c r="AZ13" i="26"/>
  <c r="E19" i="26"/>
  <c r="BQ19" i="26"/>
  <c r="AC13" i="26"/>
  <c r="BP13" i="26"/>
  <c r="BC13" i="26"/>
  <c r="AH13" i="26"/>
  <c r="AH20" i="26" s="1"/>
  <c r="BU19" i="26"/>
  <c r="AM19" i="26"/>
  <c r="Q19" i="26"/>
  <c r="E13" i="26"/>
  <c r="BD13" i="26"/>
  <c r="BE19" i="26"/>
  <c r="BC19" i="26"/>
  <c r="AS13" i="26"/>
  <c r="BQ13" i="26"/>
  <c r="AD13" i="26"/>
  <c r="AD20" i="26" s="1"/>
  <c r="BD19" i="26"/>
  <c r="BJ19" i="26"/>
  <c r="BO19" i="26"/>
  <c r="BO20" i="26" s="1"/>
  <c r="BT19" i="26"/>
  <c r="AC19" i="26"/>
  <c r="AX20" i="27"/>
  <c r="AX22" i="27"/>
  <c r="W20" i="27"/>
  <c r="G19" i="26"/>
  <c r="AB19" i="26"/>
  <c r="F17" i="26"/>
  <c r="BL17" i="26" s="1"/>
  <c r="AF19" i="26"/>
  <c r="U19" i="26"/>
  <c r="BL10" i="26"/>
  <c r="G13" i="26"/>
  <c r="F11" i="26"/>
  <c r="BL11" i="26" s="1"/>
  <c r="AF13" i="26"/>
  <c r="F12" i="26"/>
  <c r="BL12" i="26" s="1"/>
  <c r="F9" i="26"/>
  <c r="BL9" i="26" s="1"/>
  <c r="R19" i="26"/>
  <c r="F15" i="26"/>
  <c r="T13" i="26"/>
  <c r="AB13" i="26"/>
  <c r="P20" i="26"/>
  <c r="H20" i="26"/>
  <c r="W19" i="26"/>
  <c r="K13" i="26"/>
  <c r="K20" i="26" s="1"/>
  <c r="W13" i="26"/>
  <c r="AI13" i="26"/>
  <c r="AI20" i="26" s="1"/>
  <c r="AU13" i="26"/>
  <c r="J13" i="26"/>
  <c r="L13" i="26"/>
  <c r="AJ13" i="26"/>
  <c r="AJ20" i="26" s="1"/>
  <c r="AV13" i="26"/>
  <c r="BT13" i="26"/>
  <c r="Z19" i="26"/>
  <c r="M13" i="26"/>
  <c r="Y13" i="26"/>
  <c r="Y20" i="26" s="1"/>
  <c r="AK13" i="26"/>
  <c r="AK20" i="26" s="1"/>
  <c r="AW13" i="26"/>
  <c r="BU13" i="26"/>
  <c r="I13" i="26"/>
  <c r="N13" i="26"/>
  <c r="Z13" i="26"/>
  <c r="AX13" i="26"/>
  <c r="AM13" i="26"/>
  <c r="AY13" i="26"/>
  <c r="BK13" i="26"/>
  <c r="BF13" i="26"/>
  <c r="BN19" i="26"/>
  <c r="BN20" i="26" s="1"/>
  <c r="BA13" i="26"/>
  <c r="AY20" i="26" l="1"/>
  <c r="AS22" i="26"/>
  <c r="AZ20" i="26"/>
  <c r="BE20" i="26"/>
  <c r="BA22" i="26"/>
  <c r="AG20" i="26"/>
  <c r="AO20" i="26"/>
  <c r="AC20" i="26"/>
  <c r="AR20" i="26"/>
  <c r="AP20" i="26"/>
  <c r="BC22" i="26"/>
  <c r="AU22" i="26"/>
  <c r="AX20" i="26"/>
  <c r="R20" i="26"/>
  <c r="AL13" i="26"/>
  <c r="AL20" i="26" s="1"/>
  <c r="O20" i="26"/>
  <c r="BD20" i="26"/>
  <c r="AT22" i="26"/>
  <c r="AS22" i="27"/>
  <c r="AR22" i="27" s="1"/>
  <c r="K20" i="27"/>
  <c r="AS20" i="27" s="1"/>
  <c r="BC20" i="26"/>
  <c r="Q20" i="26"/>
  <c r="AW20" i="26"/>
  <c r="AM20" i="26"/>
  <c r="BK20" i="26"/>
  <c r="AT20" i="26"/>
  <c r="AU20" i="26"/>
  <c r="M20" i="26"/>
  <c r="J20" i="26"/>
  <c r="BF20" i="26"/>
  <c r="BE22" i="26"/>
  <c r="AS20" i="26"/>
  <c r="AV20" i="26"/>
  <c r="AB20" i="26"/>
  <c r="G22" i="26"/>
  <c r="G20" i="26"/>
  <c r="I22" i="26"/>
  <c r="G21" i="26"/>
  <c r="F19" i="26"/>
  <c r="BL19" i="26" s="1"/>
  <c r="AF20" i="26"/>
  <c r="F13" i="26"/>
  <c r="BQ20" i="26"/>
  <c r="J22" i="26"/>
  <c r="AN20" i="26"/>
  <c r="AB22" i="26"/>
  <c r="BQ22" i="26"/>
  <c r="BL15" i="26"/>
  <c r="BU20" i="26"/>
  <c r="N20" i="26"/>
  <c r="BS20" i="26"/>
  <c r="AQ20" i="26"/>
  <c r="E22" i="26"/>
  <c r="BA20" i="26"/>
  <c r="S13" i="26"/>
  <c r="BF22" i="26"/>
  <c r="I20" i="26"/>
  <c r="E20" i="26" l="1"/>
  <c r="BU22" i="26"/>
  <c r="F22" i="26"/>
  <c r="BL13" i="26"/>
  <c r="F20" i="26"/>
  <c r="BR20" i="26"/>
  <c r="W20" i="26"/>
  <c r="BT22" i="26"/>
  <c r="BT20" i="26"/>
  <c r="BP22" i="26"/>
  <c r="L20" i="26" l="1"/>
  <c r="BL20" i="26" s="1"/>
  <c r="BP20" i="26"/>
  <c r="BL22" i="26"/>
  <c r="BJ22" i="26" s="1"/>
  <c r="Z22" i="26" l="1"/>
  <c r="Z20" i="26" l="1"/>
  <c r="AH9" i="16"/>
  <c r="Y12" i="16" l="1"/>
  <c r="AF10" i="16" l="1"/>
  <c r="BX12" i="16"/>
  <c r="BW12" i="16"/>
  <c r="BX11" i="16"/>
  <c r="BW11" i="16"/>
  <c r="BX10" i="16"/>
  <c r="BW10" i="16"/>
  <c r="BW9" i="16"/>
  <c r="BX9" i="16"/>
  <c r="BW14" i="16"/>
  <c r="BQ18" i="2"/>
  <c r="BQ17" i="2"/>
  <c r="BQ15" i="2"/>
  <c r="BQ14" i="2"/>
  <c r="BQ12" i="2"/>
  <c r="BQ11" i="2"/>
  <c r="BQ10" i="2"/>
  <c r="BQ9" i="2"/>
  <c r="BZ18" i="3"/>
  <c r="BZ17" i="3"/>
  <c r="BZ15" i="3"/>
  <c r="BZ14" i="3"/>
  <c r="BZ12" i="3"/>
  <c r="BZ11" i="3"/>
  <c r="BZ10" i="3"/>
  <c r="BZ9" i="3"/>
  <c r="BZ18" i="21"/>
  <c r="BZ17" i="21"/>
  <c r="BZ15" i="21"/>
  <c r="BZ14" i="21"/>
  <c r="BZ12" i="21"/>
  <c r="BZ11" i="21"/>
  <c r="BZ10" i="21"/>
  <c r="BZ9" i="21"/>
  <c r="BZ18" i="17"/>
  <c r="BZ17" i="17"/>
  <c r="BZ15" i="17"/>
  <c r="BZ14" i="17"/>
  <c r="BZ12" i="17"/>
  <c r="BZ11" i="17"/>
  <c r="BZ10" i="17"/>
  <c r="BZ9" i="17"/>
  <c r="FL18" i="16"/>
  <c r="FL17" i="16"/>
  <c r="FL15" i="16"/>
  <c r="FL14" i="16"/>
  <c r="FL12" i="16"/>
  <c r="FL11" i="16"/>
  <c r="FL10" i="16"/>
  <c r="FL9" i="16"/>
  <c r="BZ10" i="14"/>
  <c r="BZ11" i="14"/>
  <c r="BZ12" i="14"/>
  <c r="BZ15" i="14"/>
  <c r="BZ17" i="14"/>
  <c r="BZ18" i="14"/>
  <c r="BZ9" i="14"/>
  <c r="AD9" i="14"/>
  <c r="BA27" i="20" l="1"/>
  <c r="BA26" i="20"/>
  <c r="BA13" i="20"/>
  <c r="EY19" i="19"/>
  <c r="EY13" i="19"/>
  <c r="EY19" i="8"/>
  <c r="EY13" i="8"/>
  <c r="EY19" i="13"/>
  <c r="EY13" i="13"/>
  <c r="EX19" i="19"/>
  <c r="EX13" i="19"/>
  <c r="BA22" i="20" l="1"/>
  <c r="BA20" i="20"/>
  <c r="EX19" i="8"/>
  <c r="EX13" i="8"/>
  <c r="EX13" i="13"/>
  <c r="EX19" i="13"/>
  <c r="AX12" i="21" l="1"/>
  <c r="AX10" i="21"/>
  <c r="AX27" i="21"/>
  <c r="AX26" i="21"/>
  <c r="AX19" i="21"/>
  <c r="AY19" i="20"/>
  <c r="AY27" i="20"/>
  <c r="AY26" i="20"/>
  <c r="AY13" i="20"/>
  <c r="AW18" i="20"/>
  <c r="AW17" i="20"/>
  <c r="AW27" i="20"/>
  <c r="AW26" i="20"/>
  <c r="AU17" i="17"/>
  <c r="AU18" i="17"/>
  <c r="AU15" i="17"/>
  <c r="AU10" i="17"/>
  <c r="AU11" i="17"/>
  <c r="AU12" i="17"/>
  <c r="AU9" i="17"/>
  <c r="AU27" i="17"/>
  <c r="AU26" i="17"/>
  <c r="BR19" i="16"/>
  <c r="BR27" i="16"/>
  <c r="BR26" i="16"/>
  <c r="BR13" i="16"/>
  <c r="BP17" i="16"/>
  <c r="BP18" i="16"/>
  <c r="BP15" i="16"/>
  <c r="BP10" i="16"/>
  <c r="BP11" i="16"/>
  <c r="BP12" i="16"/>
  <c r="BP9" i="16"/>
  <c r="EW19" i="19"/>
  <c r="EW19" i="8"/>
  <c r="BP27" i="16"/>
  <c r="BP26" i="16"/>
  <c r="EW13" i="13"/>
  <c r="EW19" i="13"/>
  <c r="AW17" i="11"/>
  <c r="AW18" i="11"/>
  <c r="AW15" i="11"/>
  <c r="AW10" i="11"/>
  <c r="AW11" i="11"/>
  <c r="AW12" i="11"/>
  <c r="AW9" i="11"/>
  <c r="AW27" i="11"/>
  <c r="AW26" i="11"/>
  <c r="EV19" i="19"/>
  <c r="EV13" i="19"/>
  <c r="EV19" i="8"/>
  <c r="EV13" i="8"/>
  <c r="EV19" i="13"/>
  <c r="EV13" i="13"/>
  <c r="W12" i="21"/>
  <c r="EV20" i="19" l="1"/>
  <c r="EW20" i="19"/>
  <c r="EW20" i="8"/>
  <c r="AW13" i="11"/>
  <c r="AW19" i="11"/>
  <c r="AU13" i="17"/>
  <c r="BP19" i="16"/>
  <c r="BP13" i="16"/>
  <c r="AX13" i="21"/>
  <c r="AY20" i="20"/>
  <c r="AW19" i="20"/>
  <c r="AW13" i="20"/>
  <c r="AU19" i="17"/>
  <c r="EV20" i="8"/>
  <c r="EV20" i="13"/>
  <c r="AU20" i="17" l="1"/>
  <c r="AX22" i="21"/>
  <c r="BR20" i="16"/>
  <c r="AW22" i="11"/>
  <c r="BB17" i="13"/>
  <c r="BA17" i="13"/>
  <c r="BB15" i="13"/>
  <c r="BA15" i="13"/>
  <c r="AZ17" i="13"/>
  <c r="AZ15" i="13"/>
  <c r="AY17" i="13"/>
  <c r="AY15" i="13"/>
  <c r="T17" i="14"/>
  <c r="T18" i="14"/>
  <c r="T15" i="14"/>
  <c r="T10" i="14"/>
  <c r="T11" i="14"/>
  <c r="T12" i="14"/>
  <c r="T9" i="14"/>
  <c r="AA5" i="21"/>
  <c r="Z5" i="21"/>
  <c r="U5" i="21"/>
  <c r="S5" i="21"/>
  <c r="S17" i="21"/>
  <c r="S19" i="21" s="1"/>
  <c r="S12" i="21"/>
  <c r="R12" i="17"/>
  <c r="R17" i="17"/>
  <c r="F10" i="17"/>
  <c r="F10" i="16"/>
  <c r="W18" i="16"/>
  <c r="W17" i="16"/>
  <c r="W15" i="16"/>
  <c r="W12" i="16"/>
  <c r="W11" i="16"/>
  <c r="W10" i="16"/>
  <c r="BA27" i="21"/>
  <c r="BA26" i="21"/>
  <c r="AZ27" i="21"/>
  <c r="AZ26" i="21"/>
  <c r="BB27" i="20"/>
  <c r="BB26" i="20"/>
  <c r="AW27" i="17"/>
  <c r="AW26" i="17"/>
  <c r="BT27" i="16"/>
  <c r="BS27" i="16"/>
  <c r="BT26" i="16"/>
  <c r="BU26" i="16"/>
  <c r="BU27" i="16" s="1"/>
  <c r="BV26" i="16"/>
  <c r="BV27" i="16" s="1"/>
  <c r="BS26" i="16"/>
  <c r="AE9" i="16"/>
  <c r="AE12" i="16"/>
  <c r="H12" i="21"/>
  <c r="I12" i="21"/>
  <c r="I17" i="20"/>
  <c r="U27" i="20"/>
  <c r="V27" i="20"/>
  <c r="U26" i="20"/>
  <c r="V26" i="20"/>
  <c r="T27" i="17"/>
  <c r="U27" i="17"/>
  <c r="T26" i="17"/>
  <c r="U26" i="17"/>
  <c r="W27" i="16"/>
  <c r="X27" i="16"/>
  <c r="W26" i="16"/>
  <c r="X26" i="16"/>
  <c r="W10" i="21"/>
  <c r="U17" i="20"/>
  <c r="U18" i="20"/>
  <c r="U15" i="20"/>
  <c r="T17" i="17"/>
  <c r="T18" i="17"/>
  <c r="T15" i="17"/>
  <c r="T10" i="17"/>
  <c r="T11" i="17"/>
  <c r="T12" i="17"/>
  <c r="T9" i="17"/>
  <c r="W9" i="16"/>
  <c r="V13" i="20"/>
  <c r="U13" i="20"/>
  <c r="L9" i="16"/>
  <c r="L10" i="16"/>
  <c r="L11" i="16"/>
  <c r="L12" i="16"/>
  <c r="L15" i="16"/>
  <c r="L17" i="16"/>
  <c r="L18" i="16"/>
  <c r="L26" i="16"/>
  <c r="L27" i="16"/>
  <c r="K18" i="2"/>
  <c r="K17" i="2"/>
  <c r="K15" i="2"/>
  <c r="K12" i="2"/>
  <c r="K11" i="2"/>
  <c r="K10" i="2"/>
  <c r="K9" i="2"/>
  <c r="AL27" i="16"/>
  <c r="ES13" i="19"/>
  <c r="ES20" i="19" s="1"/>
  <c r="ES13" i="13"/>
  <c r="ES20" i="13" s="1"/>
  <c r="ES13" i="8"/>
  <c r="AJ19" i="16"/>
  <c r="AE19" i="16"/>
  <c r="ER19" i="19"/>
  <c r="ER13" i="19"/>
  <c r="EQ19" i="19"/>
  <c r="EQ13" i="19"/>
  <c r="EP19" i="19"/>
  <c r="EP13" i="19"/>
  <c r="M18" i="10"/>
  <c r="M17" i="10"/>
  <c r="M15" i="10"/>
  <c r="M12" i="10"/>
  <c r="M11" i="10"/>
  <c r="M10" i="10"/>
  <c r="M9" i="10"/>
  <c r="ER19" i="13"/>
  <c r="ER13" i="13"/>
  <c r="G18" i="10"/>
  <c r="G17" i="10"/>
  <c r="G15" i="10"/>
  <c r="G12" i="10"/>
  <c r="G11" i="10"/>
  <c r="G10" i="10"/>
  <c r="G9" i="10"/>
  <c r="AY18" i="11"/>
  <c r="AY17" i="11"/>
  <c r="AY15" i="11"/>
  <c r="AY12" i="11"/>
  <c r="AY11" i="11"/>
  <c r="AY10" i="11"/>
  <c r="AY9" i="11"/>
  <c r="ER19" i="8"/>
  <c r="ER13" i="8"/>
  <c r="EQ19" i="8"/>
  <c r="EQ13" i="8"/>
  <c r="EP19" i="8"/>
  <c r="EP13" i="8"/>
  <c r="N18" i="2"/>
  <c r="N17" i="2"/>
  <c r="N15" i="2"/>
  <c r="N12" i="2"/>
  <c r="N11" i="2"/>
  <c r="N10" i="2"/>
  <c r="N9" i="2"/>
  <c r="M18" i="2"/>
  <c r="M17" i="2"/>
  <c r="M15" i="2"/>
  <c r="M12" i="2"/>
  <c r="M11" i="2"/>
  <c r="M10" i="2"/>
  <c r="M9" i="2"/>
  <c r="EO19" i="19"/>
  <c r="EO13" i="19"/>
  <c r="J11" i="17"/>
  <c r="J11" i="16"/>
  <c r="J12" i="16"/>
  <c r="J12" i="17"/>
  <c r="I12" i="17"/>
  <c r="A7" i="10"/>
  <c r="U17" i="16"/>
  <c r="U12" i="16"/>
  <c r="U11" i="16"/>
  <c r="U10" i="16"/>
  <c r="U9" i="16"/>
  <c r="R18" i="17"/>
  <c r="R15" i="17"/>
  <c r="R11" i="17"/>
  <c r="R10" i="17"/>
  <c r="R9" i="17"/>
  <c r="U18" i="16"/>
  <c r="U15" i="16"/>
  <c r="I17" i="17"/>
  <c r="I17" i="16"/>
  <c r="I15" i="17"/>
  <c r="I15" i="16"/>
  <c r="I11" i="17"/>
  <c r="P12" i="21"/>
  <c r="Z10" i="21"/>
  <c r="AO17" i="20"/>
  <c r="AO18" i="20"/>
  <c r="AO15" i="20"/>
  <c r="BG17" i="16"/>
  <c r="BG18" i="16"/>
  <c r="BG15" i="16"/>
  <c r="BE10" i="21"/>
  <c r="BE27" i="21"/>
  <c r="BE26" i="21"/>
  <c r="BE19" i="21"/>
  <c r="BD12" i="21"/>
  <c r="BD13" i="21" s="1"/>
  <c r="BC12" i="21"/>
  <c r="BC13" i="21" s="1"/>
  <c r="BD27" i="21"/>
  <c r="BD26" i="21"/>
  <c r="BD19" i="21"/>
  <c r="BC27" i="21"/>
  <c r="BC26" i="21"/>
  <c r="BC19" i="21"/>
  <c r="AU10" i="21"/>
  <c r="AU12" i="21"/>
  <c r="K12" i="21"/>
  <c r="K10" i="21"/>
  <c r="J10" i="21"/>
  <c r="J11" i="21"/>
  <c r="J12" i="21"/>
  <c r="J9" i="21"/>
  <c r="O12" i="21"/>
  <c r="BG11" i="16"/>
  <c r="BG12" i="16"/>
  <c r="BG9" i="16"/>
  <c r="AQ17" i="20"/>
  <c r="AT13" i="13"/>
  <c r="AV13" i="13"/>
  <c r="AX13" i="13"/>
  <c r="CN13" i="19"/>
  <c r="CN20" i="19" s="1"/>
  <c r="AQ18" i="20"/>
  <c r="CO13" i="8"/>
  <c r="CP13" i="8"/>
  <c r="CN13" i="8"/>
  <c r="AG12" i="21"/>
  <c r="AK12" i="21"/>
  <c r="AK10" i="21"/>
  <c r="AC10" i="21"/>
  <c r="AC12" i="21"/>
  <c r="O19"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C17" i="20"/>
  <c r="BA12" i="21"/>
  <c r="BA10" i="21"/>
  <c r="BB9" i="21"/>
  <c r="BB10" i="21"/>
  <c r="BB11" i="21"/>
  <c r="BB12" i="21"/>
  <c r="AY12" i="21"/>
  <c r="AY10" i="21"/>
  <c r="AW12" i="21"/>
  <c r="AW13" i="21" s="1"/>
  <c r="AW27" i="21"/>
  <c r="AW26" i="21"/>
  <c r="AU13" i="21"/>
  <c r="AU27" i="21"/>
  <c r="AU26" i="21"/>
  <c r="AS12" i="21"/>
  <c r="AS10" i="21"/>
  <c r="AS27" i="21"/>
  <c r="AS26" i="21"/>
  <c r="AS22" i="21"/>
  <c r="AQ27" i="21"/>
  <c r="AQ26" i="21"/>
  <c r="AN12" i="21"/>
  <c r="AN10" i="21"/>
  <c r="AM12" i="21"/>
  <c r="AM10" i="21"/>
  <c r="AL12" i="21"/>
  <c r="AL10" i="21"/>
  <c r="AO12" i="21"/>
  <c r="AO10" i="21"/>
  <c r="AJ12" i="21"/>
  <c r="AJ10" i="21"/>
  <c r="AI12" i="21"/>
  <c r="AI27" i="21"/>
  <c r="AI26" i="21"/>
  <c r="AG10" i="21"/>
  <c r="AG27" i="21"/>
  <c r="AG26" i="21"/>
  <c r="AE12" i="21"/>
  <c r="AE27" i="21"/>
  <c r="AE26" i="21"/>
  <c r="AC27" i="21"/>
  <c r="AC26" i="21"/>
  <c r="Z12" i="21"/>
  <c r="V27" i="21"/>
  <c r="V26" i="21"/>
  <c r="O10" i="21"/>
  <c r="I10" i="21"/>
  <c r="T27" i="21"/>
  <c r="T26" i="21"/>
  <c r="M10" i="21"/>
  <c r="L10" i="21"/>
  <c r="O27" i="21"/>
  <c r="O26" i="21"/>
  <c r="P26" i="21"/>
  <c r="P27" i="21"/>
  <c r="J27" i="21"/>
  <c r="J26" i="21"/>
  <c r="C31"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C20" i="21"/>
  <c r="Y19" i="21"/>
  <c r="C19" i="21"/>
  <c r="I19" i="21"/>
  <c r="C18" i="21"/>
  <c r="A18" i="21"/>
  <c r="C17" i="21"/>
  <c r="A17" i="21"/>
  <c r="C15" i="21"/>
  <c r="A15" i="21"/>
  <c r="C14" i="21"/>
  <c r="C13" i="21"/>
  <c r="AZ12" i="21"/>
  <c r="AV12" i="21"/>
  <c r="AV13" i="21" s="1"/>
  <c r="AR12" i="21"/>
  <c r="AH12" i="21"/>
  <c r="AD12" i="21"/>
  <c r="F12" i="21"/>
  <c r="Y12" i="21"/>
  <c r="Y13" i="21" s="1"/>
  <c r="N12" i="21"/>
  <c r="E12" i="21"/>
  <c r="T12" i="21" s="1"/>
  <c r="C12" i="21"/>
  <c r="A12" i="21"/>
  <c r="F11" i="21"/>
  <c r="E11" i="21"/>
  <c r="C11" i="21"/>
  <c r="A11" i="21"/>
  <c r="AZ10" i="21"/>
  <c r="AR10" i="21"/>
  <c r="AF10" i="21"/>
  <c r="AB10" i="21"/>
  <c r="N10" i="21"/>
  <c r="H10" i="21"/>
  <c r="H13" i="21" s="1"/>
  <c r="G10" i="21"/>
  <c r="F10" i="21"/>
  <c r="E10" i="21"/>
  <c r="C10" i="21"/>
  <c r="A10" i="21"/>
  <c r="F9" i="21"/>
  <c r="E9" i="21"/>
  <c r="C9" i="21"/>
  <c r="A9" i="21"/>
  <c r="C8" i="21"/>
  <c r="C7" i="21"/>
  <c r="C5" i="21"/>
  <c r="C2" i="21"/>
  <c r="C1" i="21"/>
  <c r="C20" i="20"/>
  <c r="C19" i="20"/>
  <c r="BC18" i="20"/>
  <c r="AX18" i="20"/>
  <c r="AV18" i="20"/>
  <c r="AU18" i="20"/>
  <c r="AR18" i="20"/>
  <c r="AN18" i="20"/>
  <c r="AM18" i="20"/>
  <c r="AL18" i="20"/>
  <c r="AK18" i="20"/>
  <c r="AG18" i="20"/>
  <c r="AF18" i="20"/>
  <c r="AE18" i="20"/>
  <c r="AD18" i="20"/>
  <c r="AC18" i="20"/>
  <c r="AB18" i="20"/>
  <c r="AA18" i="20"/>
  <c r="Z18" i="20"/>
  <c r="Y18" i="20"/>
  <c r="W18" i="20"/>
  <c r="P18" i="20"/>
  <c r="AT18" i="20" s="1"/>
  <c r="O18" i="20"/>
  <c r="N18" i="20"/>
  <c r="N19" i="20" s="1"/>
  <c r="M18" i="20"/>
  <c r="M19" i="20" s="1"/>
  <c r="L18" i="20"/>
  <c r="K18" i="20"/>
  <c r="J18" i="20"/>
  <c r="I18" i="20"/>
  <c r="G18" i="20"/>
  <c r="E18" i="20"/>
  <c r="S18" i="20" s="1"/>
  <c r="C18" i="20"/>
  <c r="A18" i="20"/>
  <c r="C15" i="20"/>
  <c r="A15" i="20"/>
  <c r="C14" i="20"/>
  <c r="C13" i="20"/>
  <c r="AX13" i="20"/>
  <c r="AN13" i="20"/>
  <c r="AM13" i="20"/>
  <c r="AL13" i="20"/>
  <c r="AK13" i="20"/>
  <c r="AJ13" i="20"/>
  <c r="AI13" i="20"/>
  <c r="AH13" i="20"/>
  <c r="AG13" i="20"/>
  <c r="AF13" i="20"/>
  <c r="AE13" i="20"/>
  <c r="AD13" i="20"/>
  <c r="AC13" i="20"/>
  <c r="Z13" i="20"/>
  <c r="Y13" i="20"/>
  <c r="W13" i="20"/>
  <c r="P13" i="20"/>
  <c r="O13" i="20"/>
  <c r="L13" i="20"/>
  <c r="C12" i="20"/>
  <c r="A12" i="20"/>
  <c r="C11" i="20"/>
  <c r="A11" i="20"/>
  <c r="C10" i="20"/>
  <c r="A10" i="20"/>
  <c r="N13" i="20"/>
  <c r="I13" i="20"/>
  <c r="C9" i="20"/>
  <c r="A9" i="20"/>
  <c r="C8" i="20"/>
  <c r="C7" i="20"/>
  <c r="C31"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13" i="20"/>
  <c r="AV13" i="20"/>
  <c r="AU13" i="20"/>
  <c r="M13" i="20"/>
  <c r="H13" i="20"/>
  <c r="S13" i="20"/>
  <c r="C5" i="20"/>
  <c r="C2" i="20"/>
  <c r="C1" i="20"/>
  <c r="BG10" i="16"/>
  <c r="E10" i="16"/>
  <c r="CP20" i="19"/>
  <c r="CO20" i="19"/>
  <c r="BU20" i="19"/>
  <c r="BT20" i="19"/>
  <c r="BS20" i="19"/>
  <c r="BR20" i="19"/>
  <c r="BQ20" i="19"/>
  <c r="BP20" i="19"/>
  <c r="BO20" i="19"/>
  <c r="BN20" i="19"/>
  <c r="EN19" i="19"/>
  <c r="EM19" i="19"/>
  <c r="EL19" i="19"/>
  <c r="EK19" i="19"/>
  <c r="EK20" i="19" s="1"/>
  <c r="EJ19" i="19"/>
  <c r="EJ20" i="19" s="1"/>
  <c r="EI19" i="19"/>
  <c r="EI20" i="19" s="1"/>
  <c r="EH19" i="19"/>
  <c r="EH20" i="19" s="1"/>
  <c r="EG19" i="19"/>
  <c r="EG20" i="19" s="1"/>
  <c r="EF19" i="19"/>
  <c r="EF20" i="19" s="1"/>
  <c r="EE19" i="19"/>
  <c r="EE20" i="19" s="1"/>
  <c r="ED19" i="19"/>
  <c r="ED20" i="19" s="1"/>
  <c r="EC19" i="19"/>
  <c r="EC20" i="19" s="1"/>
  <c r="EB19" i="19"/>
  <c r="EB20" i="19" s="1"/>
  <c r="EA19" i="19"/>
  <c r="EA20" i="19" s="1"/>
  <c r="DZ19" i="19"/>
  <c r="DZ20" i="19" s="1"/>
  <c r="DY19" i="19"/>
  <c r="DY20" i="19" s="1"/>
  <c r="DX19" i="19"/>
  <c r="DX20" i="19" s="1"/>
  <c r="DW19" i="19"/>
  <c r="DW20" i="19" s="1"/>
  <c r="DV19" i="19"/>
  <c r="DV20" i="19" s="1"/>
  <c r="DU19" i="19"/>
  <c r="DU20" i="19" s="1"/>
  <c r="DT19" i="19"/>
  <c r="DT20" i="19" s="1"/>
  <c r="DS19" i="19"/>
  <c r="DS20" i="19" s="1"/>
  <c r="DR19" i="19"/>
  <c r="DR20" i="19" s="1"/>
  <c r="DQ19" i="19"/>
  <c r="DQ20" i="19" s="1"/>
  <c r="DP19" i="19"/>
  <c r="DP20" i="19" s="1"/>
  <c r="DO19" i="19"/>
  <c r="DO20" i="19" s="1"/>
  <c r="DN19" i="19"/>
  <c r="DN20" i="19" s="1"/>
  <c r="DM19" i="19"/>
  <c r="DM20" i="19" s="1"/>
  <c r="DL19" i="19"/>
  <c r="DK19" i="19"/>
  <c r="DJ19" i="19"/>
  <c r="DI19" i="19"/>
  <c r="DH19" i="19"/>
  <c r="DG19" i="19"/>
  <c r="DF19" i="19"/>
  <c r="DF20" i="19" s="1"/>
  <c r="DE19" i="19"/>
  <c r="DE20" i="19" s="1"/>
  <c r="DD19" i="19"/>
  <c r="DD20" i="19" s="1"/>
  <c r="DC19" i="19"/>
  <c r="DC20" i="19" s="1"/>
  <c r="DB19" i="19"/>
  <c r="DB20" i="19" s="1"/>
  <c r="DA19" i="19"/>
  <c r="CZ19" i="19"/>
  <c r="CY19" i="19"/>
  <c r="CW19" i="19"/>
  <c r="CV19" i="19"/>
  <c r="CL19" i="19"/>
  <c r="CK19" i="19"/>
  <c r="CJ19" i="19"/>
  <c r="CI19" i="19"/>
  <c r="CH19" i="19"/>
  <c r="CG19" i="19"/>
  <c r="CF19" i="19"/>
  <c r="CE19" i="19"/>
  <c r="CD19" i="19"/>
  <c r="CC19" i="19"/>
  <c r="CB19" i="19"/>
  <c r="CA19" i="19"/>
  <c r="BM19" i="19"/>
  <c r="BL19" i="19"/>
  <c r="BK19" i="19"/>
  <c r="BJ19" i="19"/>
  <c r="BI19" i="19"/>
  <c r="BH19" i="19"/>
  <c r="AT19" i="19"/>
  <c r="AS19" i="19"/>
  <c r="AR19" i="19"/>
  <c r="AQ19" i="19"/>
  <c r="AP19" i="19"/>
  <c r="AO19" i="19"/>
  <c r="AN19" i="19"/>
  <c r="AM19" i="19"/>
  <c r="AL19" i="19"/>
  <c r="AK19" i="19"/>
  <c r="AJ19" i="19"/>
  <c r="AI19" i="19"/>
  <c r="AH19" i="19"/>
  <c r="AG19" i="19"/>
  <c r="AF19" i="19"/>
  <c r="AE19" i="19"/>
  <c r="AD19" i="19"/>
  <c r="AC19" i="19"/>
  <c r="AB19" i="19"/>
  <c r="AA19" i="19"/>
  <c r="Z19" i="19"/>
  <c r="Y19" i="19"/>
  <c r="X19" i="19"/>
  <c r="W19" i="19"/>
  <c r="V19" i="19"/>
  <c r="U19" i="19"/>
  <c r="T19" i="19"/>
  <c r="S19" i="19"/>
  <c r="R19" i="19"/>
  <c r="Q19" i="19"/>
  <c r="P19" i="19"/>
  <c r="O19" i="19"/>
  <c r="N19" i="19"/>
  <c r="M19" i="19"/>
  <c r="L19" i="19"/>
  <c r="K19" i="19"/>
  <c r="J19" i="19"/>
  <c r="I19" i="19"/>
  <c r="AZ19" i="19"/>
  <c r="EN13" i="19"/>
  <c r="EM13" i="19"/>
  <c r="EL13" i="19"/>
  <c r="CV13" i="19"/>
  <c r="CU13" i="19"/>
  <c r="CT13" i="19"/>
  <c r="CS13" i="19"/>
  <c r="CL13" i="19"/>
  <c r="CK13" i="19"/>
  <c r="CJ13" i="19"/>
  <c r="CI13" i="19"/>
  <c r="CH13" i="19"/>
  <c r="CG13" i="19"/>
  <c r="CF13" i="19"/>
  <c r="CE13" i="19"/>
  <c r="CD13" i="19"/>
  <c r="CC13" i="19"/>
  <c r="CB13" i="19"/>
  <c r="CA13" i="19"/>
  <c r="BM13" i="19"/>
  <c r="BM20" i="19" s="1"/>
  <c r="BL13" i="19"/>
  <c r="BK13" i="19"/>
  <c r="BJ13" i="19"/>
  <c r="BI13" i="19"/>
  <c r="BH13" i="19"/>
  <c r="AT13" i="19"/>
  <c r="AT20" i="19" s="1"/>
  <c r="AS13" i="19"/>
  <c r="AR13" i="19"/>
  <c r="AQ13" i="19"/>
  <c r="AP13" i="19"/>
  <c r="AO13" i="19"/>
  <c r="AN13" i="19"/>
  <c r="AM13" i="19"/>
  <c r="AL13" i="19"/>
  <c r="AK13" i="19"/>
  <c r="AJ13" i="19"/>
  <c r="AI13" i="19"/>
  <c r="AH13" i="19"/>
  <c r="AG13" i="19"/>
  <c r="AF13" i="19"/>
  <c r="AE13" i="19"/>
  <c r="AD13" i="19"/>
  <c r="AC13" i="19"/>
  <c r="AB13" i="19"/>
  <c r="AB20" i="19" s="1"/>
  <c r="AA13" i="19"/>
  <c r="Z13" i="19"/>
  <c r="Y13" i="19"/>
  <c r="Y20"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9" i="8"/>
  <c r="EM19" i="8"/>
  <c r="EN19" i="8"/>
  <c r="O10" i="17"/>
  <c r="O11" i="17"/>
  <c r="O12" i="17"/>
  <c r="O9" i="17"/>
  <c r="I9" i="17"/>
  <c r="I10" i="17"/>
  <c r="I18" i="17"/>
  <c r="I26" i="17"/>
  <c r="I27" i="17"/>
  <c r="AR10" i="17"/>
  <c r="AR11" i="17"/>
  <c r="AR12" i="17"/>
  <c r="AR9" i="17"/>
  <c r="BM10" i="16"/>
  <c r="BM11" i="16"/>
  <c r="BM12" i="16"/>
  <c r="BM9" i="16"/>
  <c r="V27" i="17"/>
  <c r="V26" i="17"/>
  <c r="AR27" i="16"/>
  <c r="AR26" i="16"/>
  <c r="AH27" i="16"/>
  <c r="AI27" i="16"/>
  <c r="AH26" i="16"/>
  <c r="AI26" i="16"/>
  <c r="AD27" i="16"/>
  <c r="AD26" i="16"/>
  <c r="Y27" i="16"/>
  <c r="Y26" i="16"/>
  <c r="N27" i="16"/>
  <c r="N26" i="16"/>
  <c r="K27" i="16"/>
  <c r="K26" i="16"/>
  <c r="AX10" i="17"/>
  <c r="AX11" i="17"/>
  <c r="AX12" i="17"/>
  <c r="AX9" i="17"/>
  <c r="AF10" i="17"/>
  <c r="AF11" i="17"/>
  <c r="AF12" i="17"/>
  <c r="AF9" i="17"/>
  <c r="AR13" i="16"/>
  <c r="EK19" i="8"/>
  <c r="EK20" i="8" s="1"/>
  <c r="AR19" i="16"/>
  <c r="AI12" i="16"/>
  <c r="AI9" i="16"/>
  <c r="AH11" i="16"/>
  <c r="AH12" i="16"/>
  <c r="AH19" i="16"/>
  <c r="AI19" i="16"/>
  <c r="AA10" i="17"/>
  <c r="AD12" i="16"/>
  <c r="AD9" i="16"/>
  <c r="AD19" i="16"/>
  <c r="Z10" i="17"/>
  <c r="Z11" i="17"/>
  <c r="Z12" i="17"/>
  <c r="Z9" i="17"/>
  <c r="Y10" i="17"/>
  <c r="AB10" i="16"/>
  <c r="W11" i="17"/>
  <c r="Z11" i="16"/>
  <c r="W9" i="17"/>
  <c r="Z9" i="16"/>
  <c r="V12" i="17"/>
  <c r="V9" i="17"/>
  <c r="V19" i="17"/>
  <c r="Y9" i="16"/>
  <c r="Y19" i="16"/>
  <c r="N11" i="16"/>
  <c r="N12" i="16"/>
  <c r="N9" i="16"/>
  <c r="N19" i="16"/>
  <c r="K10" i="16"/>
  <c r="K11" i="16"/>
  <c r="K12" i="16"/>
  <c r="K9" i="16"/>
  <c r="K19" i="16"/>
  <c r="G10" i="17"/>
  <c r="G10" i="16"/>
  <c r="E10" i="17"/>
  <c r="E11" i="17"/>
  <c r="E12" i="17"/>
  <c r="E9" i="17"/>
  <c r="E11" i="16"/>
  <c r="E12" i="16"/>
  <c r="E9" i="16"/>
  <c r="G3" i="18"/>
  <c r="H11" i="11"/>
  <c r="W18" i="17"/>
  <c r="W15" i="17"/>
  <c r="Z18" i="16"/>
  <c r="Z15" i="16"/>
  <c r="C2" i="16"/>
  <c r="K17" i="17"/>
  <c r="K18" i="17"/>
  <c r="K15" i="17"/>
  <c r="J27" i="17"/>
  <c r="J26" i="17"/>
  <c r="J18" i="17"/>
  <c r="J17" i="17"/>
  <c r="J15" i="17"/>
  <c r="J10" i="17"/>
  <c r="J9" i="17"/>
  <c r="K9" i="17"/>
  <c r="K10" i="17"/>
  <c r="K11" i="17"/>
  <c r="K12" i="17"/>
  <c r="K26" i="17"/>
  <c r="K27" i="17"/>
  <c r="J27" i="16"/>
  <c r="J26" i="16"/>
  <c r="J18" i="16"/>
  <c r="J17" i="16"/>
  <c r="J15" i="16"/>
  <c r="J10" i="16"/>
  <c r="J9" i="16"/>
  <c r="AT13" i="8"/>
  <c r="AS19" i="8"/>
  <c r="AT19" i="8"/>
  <c r="AT27" i="17"/>
  <c r="AV27" i="17"/>
  <c r="AS27" i="17"/>
  <c r="Z27" i="17"/>
  <c r="Y27" i="17"/>
  <c r="Z26" i="17"/>
  <c r="Y26" i="17"/>
  <c r="AD27" i="17"/>
  <c r="AE27" i="17"/>
  <c r="AD26" i="17"/>
  <c r="AE26" i="17"/>
  <c r="AT26" i="17"/>
  <c r="AV26" i="17"/>
  <c r="AS26" i="17"/>
  <c r="AK27" i="17"/>
  <c r="AK26" i="17"/>
  <c r="AQ27" i="17"/>
  <c r="AR27" i="17"/>
  <c r="AR26" i="17"/>
  <c r="AQ26" i="17"/>
  <c r="Q27" i="17"/>
  <c r="R27" i="17"/>
  <c r="S27" i="17"/>
  <c r="L27" i="17"/>
  <c r="M27" i="17"/>
  <c r="N27" i="17"/>
  <c r="O27" i="17"/>
  <c r="H27" i="17"/>
  <c r="P27" i="17"/>
  <c r="P26" i="17"/>
  <c r="Q26" i="17"/>
  <c r="R26" i="17"/>
  <c r="S26" i="17"/>
  <c r="L26" i="17"/>
  <c r="M26" i="17"/>
  <c r="N26" i="17"/>
  <c r="O26" i="17"/>
  <c r="H26" i="17"/>
  <c r="BN27" i="16"/>
  <c r="BO27" i="16"/>
  <c r="BN26" i="16"/>
  <c r="BO26" i="16"/>
  <c r="BK27" i="16"/>
  <c r="BK26" i="16"/>
  <c r="BD27" i="16"/>
  <c r="BD26" i="16"/>
  <c r="AW27" i="16"/>
  <c r="AX27" i="16"/>
  <c r="AY27" i="16"/>
  <c r="AZ27" i="16"/>
  <c r="AW26" i="16"/>
  <c r="AX26" i="16"/>
  <c r="AY26" i="16"/>
  <c r="AZ26" i="16"/>
  <c r="AN27" i="16"/>
  <c r="AO27" i="16"/>
  <c r="AP27" i="16"/>
  <c r="AQ27" i="16"/>
  <c r="AN26" i="16"/>
  <c r="AO26" i="16"/>
  <c r="AP26" i="16"/>
  <c r="AQ26" i="16"/>
  <c r="AL26" i="16"/>
  <c r="V27" i="16"/>
  <c r="V26" i="16"/>
  <c r="H27" i="16"/>
  <c r="S27" i="16"/>
  <c r="T27" i="16"/>
  <c r="H26" i="16"/>
  <c r="S26" i="16"/>
  <c r="T26" i="16"/>
  <c r="M27" i="16"/>
  <c r="O27" i="16"/>
  <c r="P27" i="16"/>
  <c r="M26" i="16"/>
  <c r="O26" i="16"/>
  <c r="P26" i="16"/>
  <c r="AT19" i="13"/>
  <c r="AU19" i="13"/>
  <c r="AV19" i="13"/>
  <c r="AW19" i="13"/>
  <c r="AX19" i="13"/>
  <c r="AS19" i="13"/>
  <c r="C2" i="17"/>
  <c r="C1" i="17"/>
  <c r="C1" i="16"/>
  <c r="AT17" i="17"/>
  <c r="AT18" i="17"/>
  <c r="AT15" i="17"/>
  <c r="M18" i="17"/>
  <c r="L18" i="17"/>
  <c r="BO17" i="16"/>
  <c r="BO18" i="16"/>
  <c r="BO15" i="16"/>
  <c r="P18" i="16"/>
  <c r="CW19" i="8"/>
  <c r="CY19" i="8"/>
  <c r="CZ19" i="8"/>
  <c r="DA19" i="8"/>
  <c r="DB19" i="8"/>
  <c r="DB20" i="8" s="1"/>
  <c r="DC19" i="8"/>
  <c r="DC20" i="8" s="1"/>
  <c r="DD19" i="8"/>
  <c r="DD20" i="8" s="1"/>
  <c r="DE19" i="8"/>
  <c r="DE20" i="8" s="1"/>
  <c r="DF19" i="8"/>
  <c r="DF20" i="8" s="1"/>
  <c r="DG19" i="8"/>
  <c r="DH19" i="8"/>
  <c r="DI19" i="8"/>
  <c r="DJ19" i="8"/>
  <c r="DK19" i="8"/>
  <c r="DL19" i="8"/>
  <c r="DM19" i="8"/>
  <c r="DM20" i="8" s="1"/>
  <c r="DN19" i="8"/>
  <c r="DN20" i="8" s="1"/>
  <c r="DO19" i="8"/>
  <c r="DO20" i="8" s="1"/>
  <c r="DP19" i="8"/>
  <c r="DP20" i="8" s="1"/>
  <c r="DQ19" i="8"/>
  <c r="DQ20" i="8" s="1"/>
  <c r="DR19" i="8"/>
  <c r="DR20" i="8" s="1"/>
  <c r="DS19" i="8"/>
  <c r="DS20" i="8" s="1"/>
  <c r="DT19" i="8"/>
  <c r="DT20" i="8" s="1"/>
  <c r="DU19" i="8"/>
  <c r="DU20" i="8" s="1"/>
  <c r="DV19" i="8"/>
  <c r="DV20" i="8" s="1"/>
  <c r="DW19" i="8"/>
  <c r="DW20" i="8" s="1"/>
  <c r="DX19" i="8"/>
  <c r="DX20" i="8" s="1"/>
  <c r="DY19" i="8"/>
  <c r="DY20" i="8" s="1"/>
  <c r="DZ19" i="8"/>
  <c r="DZ20" i="8" s="1"/>
  <c r="EA19" i="8"/>
  <c r="EA20" i="8" s="1"/>
  <c r="EB19" i="8"/>
  <c r="EB20" i="8" s="1"/>
  <c r="EC19" i="8"/>
  <c r="EC20" i="8" s="1"/>
  <c r="ED19" i="8"/>
  <c r="ED20" i="8" s="1"/>
  <c r="EE19" i="8"/>
  <c r="EE20" i="8" s="1"/>
  <c r="EF19" i="8"/>
  <c r="EF20" i="8" s="1"/>
  <c r="EG19" i="8"/>
  <c r="EG20" i="8" s="1"/>
  <c r="EH19" i="8"/>
  <c r="EH20" i="8" s="1"/>
  <c r="EI19" i="8"/>
  <c r="EI20" i="8" s="1"/>
  <c r="EJ19" i="8"/>
  <c r="EJ20" i="8" s="1"/>
  <c r="L15" i="17"/>
  <c r="M15" i="17"/>
  <c r="P15" i="16"/>
  <c r="O18" i="16"/>
  <c r="O15" i="16"/>
  <c r="AB19" i="17"/>
  <c r="AC19" i="17"/>
  <c r="AF17" i="17"/>
  <c r="AF18" i="17"/>
  <c r="AF15" i="17"/>
  <c r="Z17" i="17"/>
  <c r="Z18" i="17"/>
  <c r="Z15" i="17"/>
  <c r="O17" i="17"/>
  <c r="AR17" i="17" s="1"/>
  <c r="O18" i="17"/>
  <c r="AR18" i="17" s="1"/>
  <c r="O15" i="17"/>
  <c r="AR15" i="17" s="1"/>
  <c r="L13" i="17"/>
  <c r="M13" i="17"/>
  <c r="G17" i="17"/>
  <c r="G18" i="17"/>
  <c r="G15" i="17"/>
  <c r="G27" i="17"/>
  <c r="G26" i="17"/>
  <c r="AX17" i="17"/>
  <c r="AX18" i="17"/>
  <c r="AX15" i="17"/>
  <c r="AT13" i="17"/>
  <c r="AW10" i="17"/>
  <c r="AW11" i="17"/>
  <c r="AW12" i="17"/>
  <c r="AW15" i="17"/>
  <c r="AW17" i="17"/>
  <c r="AW18" i="17"/>
  <c r="AW9" i="17"/>
  <c r="AV10" i="17"/>
  <c r="AV11" i="17"/>
  <c r="AV12" i="17"/>
  <c r="AV15" i="17"/>
  <c r="AV17" i="17"/>
  <c r="AV18" i="17"/>
  <c r="AV9" i="17"/>
  <c r="AS13" i="17"/>
  <c r="AS17" i="17"/>
  <c r="AS18" i="17"/>
  <c r="AS15" i="17"/>
  <c r="AP10" i="17"/>
  <c r="AP11" i="17"/>
  <c r="AP12" i="17"/>
  <c r="AP15" i="17"/>
  <c r="AP17" i="17"/>
  <c r="AP18" i="17"/>
  <c r="AP9" i="17"/>
  <c r="BJ9" i="16"/>
  <c r="AN13" i="17"/>
  <c r="AM10" i="17"/>
  <c r="AM11" i="17"/>
  <c r="AM12" i="17"/>
  <c r="AM15" i="17"/>
  <c r="AM17" i="17"/>
  <c r="AM18" i="17"/>
  <c r="AM9" i="17"/>
  <c r="AL10" i="17"/>
  <c r="AL11" i="17"/>
  <c r="AL12" i="17"/>
  <c r="AL15" i="17"/>
  <c r="AL17" i="17"/>
  <c r="AL18" i="17"/>
  <c r="AL9" i="17"/>
  <c r="AK10" i="17"/>
  <c r="AK11" i="17"/>
  <c r="AK12" i="17"/>
  <c r="AK15" i="17"/>
  <c r="AK17" i="17"/>
  <c r="AK18" i="17"/>
  <c r="AK9" i="17"/>
  <c r="AJ10" i="17"/>
  <c r="AJ11" i="17"/>
  <c r="AJ12" i="17"/>
  <c r="AJ15" i="17"/>
  <c r="AJ17" i="17"/>
  <c r="AJ18" i="17"/>
  <c r="AJ9" i="17"/>
  <c r="AI13" i="17"/>
  <c r="AI19" i="17"/>
  <c r="AH13" i="17"/>
  <c r="AH19" i="17"/>
  <c r="AG10" i="17"/>
  <c r="AG11" i="17"/>
  <c r="AG12" i="17"/>
  <c r="AG18" i="17"/>
  <c r="AG9" i="17"/>
  <c r="BN17" i="16"/>
  <c r="BN18" i="16"/>
  <c r="BN15" i="16"/>
  <c r="BU10" i="16"/>
  <c r="BU11" i="16"/>
  <c r="BU12" i="16"/>
  <c r="BU15" i="16"/>
  <c r="BU17" i="16"/>
  <c r="BU18" i="16"/>
  <c r="BU9" i="16"/>
  <c r="BQ10" i="16"/>
  <c r="BQ11" i="16"/>
  <c r="BQ12" i="16"/>
  <c r="BQ15" i="16"/>
  <c r="BQ17" i="16"/>
  <c r="BQ18" i="16"/>
  <c r="BQ9" i="16"/>
  <c r="BK10" i="16"/>
  <c r="BK11" i="16"/>
  <c r="BK12" i="16"/>
  <c r="BK19" i="16"/>
  <c r="BK9" i="16"/>
  <c r="BJ10" i="16"/>
  <c r="BJ11" i="16"/>
  <c r="BJ12" i="16"/>
  <c r="BJ15" i="16"/>
  <c r="BJ17" i="16"/>
  <c r="BJ18" i="16"/>
  <c r="C15" i="2"/>
  <c r="C9" i="2"/>
  <c r="BF10" i="16"/>
  <c r="BF11" i="16"/>
  <c r="BF12" i="16"/>
  <c r="BF15" i="16"/>
  <c r="BF17" i="16"/>
  <c r="BF18" i="16"/>
  <c r="BF9" i="16"/>
  <c r="BE10" i="16"/>
  <c r="BE11" i="16"/>
  <c r="BE12" i="16"/>
  <c r="BE15" i="16"/>
  <c r="BE17" i="16"/>
  <c r="BE18" i="16"/>
  <c r="BE9" i="16"/>
  <c r="BD10" i="16"/>
  <c r="BD11" i="16"/>
  <c r="BD12" i="16"/>
  <c r="BD15" i="16"/>
  <c r="BD17" i="16"/>
  <c r="BD18" i="16"/>
  <c r="BD9" i="16"/>
  <c r="BC10" i="16"/>
  <c r="BC11" i="16"/>
  <c r="BC12" i="16"/>
  <c r="BC15" i="16"/>
  <c r="BC17" i="16"/>
  <c r="BC18" i="16"/>
  <c r="BC9" i="16"/>
  <c r="BB13" i="16"/>
  <c r="BA13" i="16"/>
  <c r="BA19" i="16"/>
  <c r="AZ10" i="16"/>
  <c r="AZ11" i="16"/>
  <c r="AZ12" i="16"/>
  <c r="AZ9" i="16"/>
  <c r="AY10" i="16"/>
  <c r="AY11" i="16"/>
  <c r="AY12" i="16"/>
  <c r="AY9" i="16"/>
  <c r="AX10" i="16"/>
  <c r="AX11" i="16"/>
  <c r="AX12" i="16"/>
  <c r="AW10" i="16"/>
  <c r="AW11" i="16"/>
  <c r="AW12" i="16"/>
  <c r="AW15" i="16"/>
  <c r="AW17" i="16"/>
  <c r="AW18" i="16"/>
  <c r="AW9" i="16"/>
  <c r="AV10" i="16"/>
  <c r="AV11" i="16"/>
  <c r="AV12" i="16"/>
  <c r="AV15" i="16"/>
  <c r="AV17" i="16"/>
  <c r="AV18" i="16"/>
  <c r="AV9" i="16"/>
  <c r="AU10" i="16"/>
  <c r="AU11" i="16"/>
  <c r="AU12" i="16"/>
  <c r="AU15" i="16"/>
  <c r="AU17" i="16"/>
  <c r="AU18" i="16"/>
  <c r="AU9" i="16"/>
  <c r="AT15" i="16"/>
  <c r="AT17" i="16"/>
  <c r="AT18" i="16"/>
  <c r="AS10" i="16"/>
  <c r="AS11" i="16"/>
  <c r="AS12" i="16"/>
  <c r="AS15" i="16"/>
  <c r="AS17" i="16"/>
  <c r="AS18" i="16"/>
  <c r="AS9" i="16"/>
  <c r="AQ13" i="16"/>
  <c r="AP13" i="16"/>
  <c r="AP19" i="16"/>
  <c r="AO13" i="16"/>
  <c r="AN13" i="16"/>
  <c r="AN19" i="16"/>
  <c r="AE10" i="17"/>
  <c r="AE11" i="17"/>
  <c r="AE12" i="17"/>
  <c r="AE15" i="17"/>
  <c r="AE17" i="17"/>
  <c r="AE18" i="17"/>
  <c r="AE9" i="17"/>
  <c r="AM10" i="16"/>
  <c r="AM11" i="16"/>
  <c r="AM12" i="16"/>
  <c r="AM15" i="16"/>
  <c r="AM17" i="16"/>
  <c r="AM18" i="16"/>
  <c r="AM9" i="16"/>
  <c r="AD13" i="17"/>
  <c r="AD19" i="17"/>
  <c r="AB13" i="17"/>
  <c r="AL19" i="16"/>
  <c r="AK13" i="16"/>
  <c r="AK19" i="16"/>
  <c r="AG19" i="16"/>
  <c r="AA18" i="17"/>
  <c r="AA17" i="17"/>
  <c r="AA15" i="17"/>
  <c r="AF18" i="16"/>
  <c r="AF17" i="16"/>
  <c r="AF15" i="16"/>
  <c r="Y17" i="17"/>
  <c r="Y18" i="17"/>
  <c r="Y15" i="17"/>
  <c r="AB18" i="16"/>
  <c r="AB17" i="16"/>
  <c r="AB15" i="16"/>
  <c r="AC10" i="16"/>
  <c r="AC11" i="16"/>
  <c r="AC12" i="16"/>
  <c r="AC15" i="16"/>
  <c r="AC17" i="16"/>
  <c r="AC18" i="16"/>
  <c r="AC9" i="16"/>
  <c r="W10" i="17"/>
  <c r="W12" i="17"/>
  <c r="W17" i="17"/>
  <c r="Z10" i="16"/>
  <c r="Z12" i="16"/>
  <c r="Z17" i="16"/>
  <c r="R10" i="16"/>
  <c r="R11" i="16"/>
  <c r="R12" i="16"/>
  <c r="R15" i="16"/>
  <c r="BM15" i="16" s="1"/>
  <c r="R17" i="16"/>
  <c r="BM17" i="16" s="1"/>
  <c r="R18" i="16"/>
  <c r="BM18" i="16" s="1"/>
  <c r="R9" i="16"/>
  <c r="Q10" i="16"/>
  <c r="Q11" i="16"/>
  <c r="Q12" i="16"/>
  <c r="Q15" i="16"/>
  <c r="Q17" i="16"/>
  <c r="Q18" i="16"/>
  <c r="Q9" i="16"/>
  <c r="N10" i="17"/>
  <c r="N11" i="17"/>
  <c r="N12" i="17"/>
  <c r="N15" i="17"/>
  <c r="N17" i="17"/>
  <c r="N18" i="17"/>
  <c r="N9" i="17"/>
  <c r="O13" i="16"/>
  <c r="H13" i="16"/>
  <c r="BN13" i="16"/>
  <c r="BO13" i="16"/>
  <c r="BS13" i="16"/>
  <c r="AO19" i="16"/>
  <c r="AQ19" i="16"/>
  <c r="BB19" i="16"/>
  <c r="M15" i="16"/>
  <c r="M17" i="16"/>
  <c r="M18" i="16"/>
  <c r="M10" i="16"/>
  <c r="M11" i="16"/>
  <c r="M12" i="16"/>
  <c r="M9" i="16"/>
  <c r="E15" i="16"/>
  <c r="I18" i="16"/>
  <c r="G17" i="16"/>
  <c r="G18" i="16"/>
  <c r="G15" i="16"/>
  <c r="E17" i="17"/>
  <c r="E18" i="17"/>
  <c r="E15" i="17"/>
  <c r="E17" i="16"/>
  <c r="E18" i="16"/>
  <c r="BJ26" i="16"/>
  <c r="BJ27" i="16"/>
  <c r="BG26" i="16"/>
  <c r="BG27" i="16"/>
  <c r="BI27" i="16"/>
  <c r="BI26" i="16"/>
  <c r="F27" i="17"/>
  <c r="E26" i="17"/>
  <c r="BB12" i="13"/>
  <c r="BB11" i="13"/>
  <c r="BA12" i="13"/>
  <c r="BE12" i="13" s="1"/>
  <c r="BA11" i="13"/>
  <c r="AZ12" i="13"/>
  <c r="BD12" i="13" s="1"/>
  <c r="AZ11" i="13"/>
  <c r="AY12" i="13"/>
  <c r="BG12" i="13" s="1"/>
  <c r="AY11" i="13"/>
  <c r="BB9" i="13"/>
  <c r="BA9" i="13"/>
  <c r="AY9" i="13"/>
  <c r="BC12" i="13"/>
  <c r="BC11" i="13"/>
  <c r="BC10" i="13"/>
  <c r="BB10" i="13"/>
  <c r="BA10" i="13"/>
  <c r="AZ10" i="13"/>
  <c r="AY10" i="13"/>
  <c r="BC9" i="13"/>
  <c r="BC18" i="13"/>
  <c r="BB18" i="13"/>
  <c r="BA18" i="13"/>
  <c r="AZ18" i="13"/>
  <c r="AY18" i="13"/>
  <c r="BC17" i="13"/>
  <c r="BC15" i="13"/>
  <c r="BF15" i="13" s="1"/>
  <c r="AW13" i="13"/>
  <c r="AU13" i="13"/>
  <c r="AS13" i="13"/>
  <c r="C5" i="17"/>
  <c r="C31" i="17"/>
  <c r="B21" i="17"/>
  <c r="C20" i="17"/>
  <c r="C19" i="17"/>
  <c r="C18" i="17"/>
  <c r="A18" i="17"/>
  <c r="C17" i="17"/>
  <c r="A17" i="17"/>
  <c r="C15" i="17"/>
  <c r="A15" i="17"/>
  <c r="C14" i="17"/>
  <c r="C13" i="17"/>
  <c r="C12" i="17"/>
  <c r="A12" i="17"/>
  <c r="C11" i="17"/>
  <c r="A11" i="17"/>
  <c r="C10" i="17"/>
  <c r="A10" i="17"/>
  <c r="C9" i="17"/>
  <c r="C8" i="17"/>
  <c r="C7" i="17"/>
  <c r="C31" i="16"/>
  <c r="C5" i="16"/>
  <c r="C20" i="16"/>
  <c r="C19" i="16"/>
  <c r="C18" i="16"/>
  <c r="A18" i="16"/>
  <c r="C17" i="16"/>
  <c r="A17" i="16"/>
  <c r="C15" i="16"/>
  <c r="A15" i="16"/>
  <c r="C14" i="16"/>
  <c r="C13" i="16"/>
  <c r="C12" i="16"/>
  <c r="A12" i="16"/>
  <c r="C11" i="16"/>
  <c r="A11" i="16"/>
  <c r="C10" i="16"/>
  <c r="A10" i="16"/>
  <c r="C9" i="16"/>
  <c r="A9" i="16"/>
  <c r="C7" i="16"/>
  <c r="AP27" i="17"/>
  <c r="AO27" i="17"/>
  <c r="AN27" i="17"/>
  <c r="AM27" i="17"/>
  <c r="AL27" i="17"/>
  <c r="AJ27" i="17"/>
  <c r="AI27" i="17"/>
  <c r="AH27" i="17"/>
  <c r="AG27" i="17"/>
  <c r="AF27" i="17"/>
  <c r="AC27" i="17"/>
  <c r="AB27" i="17"/>
  <c r="AA27" i="17"/>
  <c r="X27" i="17"/>
  <c r="W27" i="17"/>
  <c r="E27" i="17"/>
  <c r="AP26" i="17"/>
  <c r="AO26" i="17"/>
  <c r="AN26" i="17"/>
  <c r="AM26" i="17"/>
  <c r="AL26" i="17"/>
  <c r="AJ26" i="17"/>
  <c r="AI26" i="17"/>
  <c r="AH26" i="17"/>
  <c r="AG26" i="17"/>
  <c r="AF26" i="17"/>
  <c r="AC26" i="17"/>
  <c r="AB26" i="17"/>
  <c r="AA26" i="17"/>
  <c r="X26" i="17"/>
  <c r="W26" i="17"/>
  <c r="F26" i="17"/>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M13" i="8"/>
  <c r="BM19" i="8"/>
  <c r="J18" i="14"/>
  <c r="S18" i="11"/>
  <c r="S17" i="11"/>
  <c r="A2" i="8"/>
  <c r="Z18" i="14"/>
  <c r="Y18" i="14"/>
  <c r="X18" i="14"/>
  <c r="Z17" i="14"/>
  <c r="Y17" i="14"/>
  <c r="X17" i="14"/>
  <c r="Z15" i="14"/>
  <c r="Y15" i="14"/>
  <c r="X15" i="14"/>
  <c r="Z12" i="14"/>
  <c r="Y12" i="14"/>
  <c r="X12" i="14"/>
  <c r="Z11" i="14"/>
  <c r="Y11" i="14"/>
  <c r="X11" i="14"/>
  <c r="Z10" i="14"/>
  <c r="Y10" i="14"/>
  <c r="X10" i="14"/>
  <c r="Z9" i="14"/>
  <c r="Y9" i="14"/>
  <c r="X9" i="14"/>
  <c r="AA18" i="14"/>
  <c r="AA17" i="14"/>
  <c r="AA15" i="14"/>
  <c r="AA12" i="14"/>
  <c r="AA11" i="14"/>
  <c r="AA10" i="14"/>
  <c r="AA9" i="14"/>
  <c r="B4" i="14"/>
  <c r="AD18" i="14"/>
  <c r="AC18" i="14"/>
  <c r="AB18" i="14"/>
  <c r="AD17" i="14"/>
  <c r="AC17" i="14"/>
  <c r="AB17" i="14"/>
  <c r="AD15" i="14"/>
  <c r="AC15" i="14"/>
  <c r="AB15" i="14"/>
  <c r="AD12" i="14"/>
  <c r="AC12" i="14"/>
  <c r="AB12" i="14"/>
  <c r="AD11" i="14"/>
  <c r="AC11" i="14"/>
  <c r="AB11" i="14"/>
  <c r="AD10" i="14"/>
  <c r="AC10" i="14"/>
  <c r="AB10" i="14"/>
  <c r="AC9" i="14"/>
  <c r="AB9" i="14"/>
  <c r="K17" i="11"/>
  <c r="K18" i="11"/>
  <c r="K15" i="11"/>
  <c r="K10" i="11"/>
  <c r="F10" i="11" s="1"/>
  <c r="K11" i="11"/>
  <c r="K12" i="11"/>
  <c r="K9" i="11"/>
  <c r="A5" i="7"/>
  <c r="A5" i="6"/>
  <c r="B5" i="14"/>
  <c r="A5" i="2"/>
  <c r="S15" i="11"/>
  <c r="B10" i="3"/>
  <c r="B11" i="3"/>
  <c r="B12" i="3"/>
  <c r="B14" i="3"/>
  <c r="B15" i="3"/>
  <c r="B17" i="3"/>
  <c r="B18" i="3"/>
  <c r="CF19" i="8"/>
  <c r="N19" i="12" s="1"/>
  <c r="CE19" i="8"/>
  <c r="M19" i="12" s="1"/>
  <c r="CD19" i="8"/>
  <c r="CC19" i="8"/>
  <c r="CB19" i="8"/>
  <c r="CA19" i="8"/>
  <c r="BL19" i="8"/>
  <c r="BK19" i="8"/>
  <c r="BJ19" i="8"/>
  <c r="BI19" i="8"/>
  <c r="BH19" i="8"/>
  <c r="AR19" i="8"/>
  <c r="C19" i="3" s="1"/>
  <c r="AQ19" i="8"/>
  <c r="AP19" i="8"/>
  <c r="B19" i="3" s="1"/>
  <c r="AO19" i="8"/>
  <c r="AN19" i="8"/>
  <c r="AM19" i="8"/>
  <c r="AL19" i="8"/>
  <c r="AK19" i="8"/>
  <c r="AJ19" i="8"/>
  <c r="T19" i="12" s="1"/>
  <c r="AI19" i="8"/>
  <c r="S19" i="12" s="1"/>
  <c r="AH19" i="8"/>
  <c r="R19" i="12" s="1"/>
  <c r="AG19" i="8"/>
  <c r="Q19" i="12" s="1"/>
  <c r="AF19" i="8"/>
  <c r="AE19" i="8"/>
  <c r="AD19" i="8"/>
  <c r="AC19" i="8"/>
  <c r="AB19" i="8"/>
  <c r="AA19" i="8"/>
  <c r="Z19" i="8"/>
  <c r="Y19" i="8"/>
  <c r="X19" i="8"/>
  <c r="W19" i="8"/>
  <c r="V19" i="8"/>
  <c r="U19" i="8"/>
  <c r="T19" i="8"/>
  <c r="S19" i="8"/>
  <c r="R19" i="8"/>
  <c r="Q19" i="8"/>
  <c r="P19" i="8"/>
  <c r="O19" i="8"/>
  <c r="M19" i="8"/>
  <c r="N19" i="8"/>
  <c r="L19" i="8"/>
  <c r="G19" i="12" s="1"/>
  <c r="K19" i="8"/>
  <c r="J19" i="8"/>
  <c r="E19" i="12" s="1"/>
  <c r="I19"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S13" i="12" s="1"/>
  <c r="AH13" i="8"/>
  <c r="AG13" i="8"/>
  <c r="AF13" i="8"/>
  <c r="AE13" i="8"/>
  <c r="AE20" i="8" s="1"/>
  <c r="AD13" i="8"/>
  <c r="AC13" i="8"/>
  <c r="AC20" i="8" s="1"/>
  <c r="AB13" i="8"/>
  <c r="AA13" i="8"/>
  <c r="Z13" i="8"/>
  <c r="Y13" i="8"/>
  <c r="X13" i="8"/>
  <c r="W13" i="8"/>
  <c r="V13" i="8"/>
  <c r="U13" i="8"/>
  <c r="T13" i="8"/>
  <c r="S13" i="8"/>
  <c r="R13" i="8"/>
  <c r="Q13" i="8"/>
  <c r="P13" i="8"/>
  <c r="O13" i="8"/>
  <c r="N13" i="8"/>
  <c r="M13" i="8"/>
  <c r="H13" i="12" s="1"/>
  <c r="L13" i="8"/>
  <c r="K13" i="8"/>
  <c r="J13" i="8"/>
  <c r="I13" i="8"/>
  <c r="CV19" i="8"/>
  <c r="CV13" i="8"/>
  <c r="CL19" i="8"/>
  <c r="CK19" i="8"/>
  <c r="CJ19" i="8"/>
  <c r="CI19" i="8"/>
  <c r="CH19" i="8"/>
  <c r="P19" i="12" s="1"/>
  <c r="CG19" i="8"/>
  <c r="O19" i="12" s="1"/>
  <c r="CU13" i="8"/>
  <c r="CT13" i="8"/>
  <c r="CS13" i="8"/>
  <c r="CL13" i="8"/>
  <c r="CK13" i="8"/>
  <c r="CJ13" i="8"/>
  <c r="AP13" i="17" s="1"/>
  <c r="CI13" i="8"/>
  <c r="CH13" i="8"/>
  <c r="P13" i="12" s="1"/>
  <c r="CG13" i="8"/>
  <c r="O13" i="12" s="1"/>
  <c r="A19" i="3"/>
  <c r="Q15" i="14"/>
  <c r="Q11" i="14"/>
  <c r="Q9" i="14"/>
  <c r="S4" i="9"/>
  <c r="S5" i="9"/>
  <c r="S6" i="9"/>
  <c r="S3" i="9"/>
  <c r="H9" i="11"/>
  <c r="I11" i="11"/>
  <c r="I12" i="11"/>
  <c r="H12" i="11"/>
  <c r="I9" i="11"/>
  <c r="S9" i="11"/>
  <c r="S11" i="11"/>
  <c r="AA17" i="11"/>
  <c r="AA15" i="11"/>
  <c r="AA18" i="11"/>
  <c r="AA10" i="11"/>
  <c r="K26" i="11"/>
  <c r="K27" i="11"/>
  <c r="L2" i="11"/>
  <c r="F2" i="11"/>
  <c r="N2" i="11"/>
  <c r="L18" i="11"/>
  <c r="L17" i="11"/>
  <c r="L15" i="11"/>
  <c r="L12" i="11"/>
  <c r="L11" i="11"/>
  <c r="L10" i="11"/>
  <c r="L9" i="11"/>
  <c r="E26" i="11"/>
  <c r="E27" i="11"/>
  <c r="AH26" i="11"/>
  <c r="AH27" i="11"/>
  <c r="M18" i="11"/>
  <c r="AR18" i="11" s="1"/>
  <c r="M17" i="11"/>
  <c r="AR17" i="11" s="1"/>
  <c r="M15" i="11"/>
  <c r="AR15" i="11" s="1"/>
  <c r="M12" i="11"/>
  <c r="AR12" i="11" s="1"/>
  <c r="M11" i="11"/>
  <c r="AR11" i="11" s="1"/>
  <c r="M10" i="11"/>
  <c r="AR10" i="11" s="1"/>
  <c r="M9" i="11"/>
  <c r="AR9" i="11" s="1"/>
  <c r="J18" i="11"/>
  <c r="I18" i="11"/>
  <c r="J17" i="11"/>
  <c r="I17" i="11"/>
  <c r="J15" i="11"/>
  <c r="I15" i="11"/>
  <c r="J12" i="11"/>
  <c r="J11" i="11"/>
  <c r="J10" i="11"/>
  <c r="I10" i="11"/>
  <c r="J9" i="11"/>
  <c r="H18" i="11"/>
  <c r="N18" i="11" s="1"/>
  <c r="H17" i="11"/>
  <c r="N17" i="11" s="1"/>
  <c r="H15" i="11"/>
  <c r="N15" i="11" s="1"/>
  <c r="H10" i="11"/>
  <c r="AF9" i="11"/>
  <c r="AF10" i="11"/>
  <c r="AF11" i="11"/>
  <c r="AF12" i="11"/>
  <c r="AF15" i="11"/>
  <c r="AF17" i="11"/>
  <c r="AF18" i="11"/>
  <c r="AF26" i="11"/>
  <c r="AF27" i="11"/>
  <c r="AB26" i="11"/>
  <c r="AC26" i="11"/>
  <c r="AD26" i="11"/>
  <c r="AB27" i="11"/>
  <c r="AC27" i="11"/>
  <c r="AD27" i="11"/>
  <c r="AD18" i="11"/>
  <c r="AD17" i="11"/>
  <c r="AD15" i="11"/>
  <c r="AD12" i="11"/>
  <c r="AD11" i="11"/>
  <c r="AD10" i="11"/>
  <c r="AD9" i="11"/>
  <c r="AB18" i="11"/>
  <c r="AB17" i="11"/>
  <c r="AB15" i="11"/>
  <c r="AB12" i="11"/>
  <c r="AC12" i="11" s="1"/>
  <c r="AB11" i="11"/>
  <c r="AC11" i="11" s="1"/>
  <c r="AB10" i="11"/>
  <c r="AB9" i="11"/>
  <c r="AA26" i="11"/>
  <c r="AA27" i="11"/>
  <c r="Z26" i="11"/>
  <c r="Z27" i="11"/>
  <c r="Z18" i="11"/>
  <c r="Z17" i="11"/>
  <c r="Z15" i="11"/>
  <c r="Z12" i="11"/>
  <c r="Z11" i="11"/>
  <c r="Z10" i="11"/>
  <c r="Z9" i="11"/>
  <c r="Y26" i="11"/>
  <c r="Y27" i="11"/>
  <c r="X26" i="11"/>
  <c r="X27" i="11"/>
  <c r="X18" i="11"/>
  <c r="X17" i="11"/>
  <c r="X15" i="11"/>
  <c r="X12" i="11"/>
  <c r="Y12" i="11" s="1"/>
  <c r="X11" i="11"/>
  <c r="Y11" i="11" s="1"/>
  <c r="X10" i="11"/>
  <c r="X9" i="11"/>
  <c r="S12" i="11"/>
  <c r="S10" i="11"/>
  <c r="U27" i="11"/>
  <c r="T27" i="11"/>
  <c r="S27" i="11"/>
  <c r="U26" i="11"/>
  <c r="T26" i="11"/>
  <c r="S26" i="11"/>
  <c r="R18" i="11"/>
  <c r="R17" i="11"/>
  <c r="R15" i="11"/>
  <c r="R12" i="11"/>
  <c r="R11" i="11"/>
  <c r="R10" i="11"/>
  <c r="R9" i="11"/>
  <c r="J26" i="11"/>
  <c r="L26" i="11"/>
  <c r="M26" i="11"/>
  <c r="N26" i="11"/>
  <c r="Q26" i="11"/>
  <c r="R26" i="11"/>
  <c r="J27" i="11"/>
  <c r="L27" i="11"/>
  <c r="M27" i="11"/>
  <c r="N27" i="11"/>
  <c r="Q27" i="11"/>
  <c r="R27" i="11"/>
  <c r="I27" i="11"/>
  <c r="H27" i="11"/>
  <c r="I26" i="11"/>
  <c r="H26" i="11"/>
  <c r="AR26" i="11"/>
  <c r="AR27" i="11"/>
  <c r="AT26" i="11"/>
  <c r="AU26" i="11"/>
  <c r="AV26" i="11"/>
  <c r="AX26" i="11"/>
  <c r="AT27" i="11"/>
  <c r="AU27" i="11"/>
  <c r="AV27" i="11"/>
  <c r="AX27" i="11"/>
  <c r="AX18" i="11"/>
  <c r="AX17" i="11"/>
  <c r="AX15" i="11"/>
  <c r="AX12" i="11"/>
  <c r="AX11" i="11"/>
  <c r="AX10" i="11"/>
  <c r="AX9" i="11"/>
  <c r="AV18" i="11"/>
  <c r="AV17" i="11"/>
  <c r="AV15" i="11"/>
  <c r="AV12" i="11"/>
  <c r="AV11" i="11"/>
  <c r="AV10" i="11"/>
  <c r="AV9" i="11"/>
  <c r="AT9" i="11"/>
  <c r="AT10" i="11"/>
  <c r="AT11" i="11"/>
  <c r="AT12" i="11"/>
  <c r="AT15" i="11"/>
  <c r="AT17" i="11"/>
  <c r="AT18" i="11"/>
  <c r="AU9" i="11"/>
  <c r="AU10" i="11"/>
  <c r="AU11" i="11"/>
  <c r="AU12" i="11"/>
  <c r="AU15" i="11"/>
  <c r="AU17" i="11"/>
  <c r="AU18" i="11"/>
  <c r="W10" i="11"/>
  <c r="W15" i="11"/>
  <c r="Y15" i="11" s="1"/>
  <c r="W17" i="11"/>
  <c r="W18" i="11"/>
  <c r="I15" i="2"/>
  <c r="I17" i="2"/>
  <c r="I18" i="2"/>
  <c r="G15" i="2"/>
  <c r="G17" i="2"/>
  <c r="G18" i="2"/>
  <c r="E15" i="2"/>
  <c r="E17" i="2"/>
  <c r="E18" i="2"/>
  <c r="C17" i="2"/>
  <c r="D17" i="2" s="1"/>
  <c r="C18" i="2"/>
  <c r="D18" i="2" s="1"/>
  <c r="I9" i="2"/>
  <c r="I10" i="2"/>
  <c r="I11" i="2"/>
  <c r="I12" i="2"/>
  <c r="C10" i="2"/>
  <c r="D10" i="2" s="1"/>
  <c r="C11" i="2"/>
  <c r="C12" i="2"/>
  <c r="D12" i="2" s="1"/>
  <c r="G9" i="2"/>
  <c r="G10" i="2"/>
  <c r="G11" i="2"/>
  <c r="G12" i="2"/>
  <c r="E9" i="2"/>
  <c r="E10" i="2"/>
  <c r="E11" i="2"/>
  <c r="E12" i="2"/>
  <c r="AH15" i="11"/>
  <c r="AH17" i="11"/>
  <c r="AH18" i="11"/>
  <c r="AH9" i="11"/>
  <c r="AH10" i="11"/>
  <c r="AH11" i="11"/>
  <c r="AH12" i="11"/>
  <c r="E18" i="11"/>
  <c r="E17" i="11"/>
  <c r="E15" i="11"/>
  <c r="E12" i="11"/>
  <c r="E11" i="11"/>
  <c r="E10" i="11"/>
  <c r="E9" i="11"/>
  <c r="W18" i="14"/>
  <c r="W17" i="14"/>
  <c r="W15" i="14"/>
  <c r="W12" i="14"/>
  <c r="W11" i="14"/>
  <c r="W10" i="14"/>
  <c r="W9" i="14"/>
  <c r="M18" i="14"/>
  <c r="M17" i="14"/>
  <c r="M15" i="14"/>
  <c r="M12" i="14"/>
  <c r="M11" i="14"/>
  <c r="M10" i="14"/>
  <c r="M9" i="14"/>
  <c r="N18" i="14"/>
  <c r="N17" i="14"/>
  <c r="N15" i="14"/>
  <c r="N10" i="14"/>
  <c r="N11" i="14"/>
  <c r="N12" i="14"/>
  <c r="N9" i="14"/>
  <c r="P18" i="14"/>
  <c r="P17" i="14"/>
  <c r="P15" i="14"/>
  <c r="P12" i="14"/>
  <c r="P11" i="14"/>
  <c r="P10" i="14"/>
  <c r="P9" i="14"/>
  <c r="O18" i="14"/>
  <c r="O17" i="14"/>
  <c r="O15" i="14"/>
  <c r="O12" i="14"/>
  <c r="O11" i="14"/>
  <c r="O10" i="14"/>
  <c r="O9" i="14"/>
  <c r="AZ9" i="8"/>
  <c r="BB17" i="8"/>
  <c r="BA17" i="8"/>
  <c r="AZ17" i="8"/>
  <c r="AY17" i="8"/>
  <c r="BB15" i="8"/>
  <c r="BA15" i="8"/>
  <c r="AZ15" i="8"/>
  <c r="AY15" i="8"/>
  <c r="BB12" i="8"/>
  <c r="BA12" i="8"/>
  <c r="AZ12" i="8"/>
  <c r="AY12" i="8"/>
  <c r="BB11" i="8"/>
  <c r="BA11" i="8"/>
  <c r="AZ11" i="8"/>
  <c r="AY11" i="8"/>
  <c r="BB9" i="8"/>
  <c r="BA9" i="8"/>
  <c r="AY9" i="8"/>
  <c r="C5" i="11"/>
  <c r="C5" i="12"/>
  <c r="C7" i="11"/>
  <c r="AS18" i="11"/>
  <c r="AS17" i="11"/>
  <c r="AS15" i="11"/>
  <c r="AS12" i="11"/>
  <c r="AS11" i="11"/>
  <c r="AS10" i="11"/>
  <c r="AS9" i="11"/>
  <c r="AS27" i="11"/>
  <c r="AS26" i="11"/>
  <c r="A18" i="14"/>
  <c r="A17" i="14"/>
  <c r="A15" i="14"/>
  <c r="A12" i="14"/>
  <c r="A11" i="14"/>
  <c r="A10" i="14"/>
  <c r="A9" i="14"/>
  <c r="C20" i="12"/>
  <c r="C19" i="12"/>
  <c r="C18" i="12"/>
  <c r="C17" i="12"/>
  <c r="C15" i="12"/>
  <c r="C14" i="12"/>
  <c r="C13" i="12"/>
  <c r="C12" i="12"/>
  <c r="C11" i="12"/>
  <c r="C10" i="12"/>
  <c r="C9" i="12"/>
  <c r="C8" i="12"/>
  <c r="G12" i="14"/>
  <c r="G11" i="14"/>
  <c r="G10" i="14"/>
  <c r="G9" i="14"/>
  <c r="G18" i="14"/>
  <c r="G17" i="14"/>
  <c r="G15" i="14"/>
  <c r="B19" i="14"/>
  <c r="B13" i="14"/>
  <c r="D10" i="14"/>
  <c r="D15" i="14"/>
  <c r="D17" i="14"/>
  <c r="D18" i="14"/>
  <c r="F15" i="14"/>
  <c r="F17" i="14"/>
  <c r="F18" i="14"/>
  <c r="E15" i="14"/>
  <c r="E17" i="14"/>
  <c r="E18" i="14"/>
  <c r="H15" i="14"/>
  <c r="H17" i="14"/>
  <c r="H18" i="14"/>
  <c r="F10" i="14"/>
  <c r="E10" i="14"/>
  <c r="H10" i="14"/>
  <c r="B18" i="14"/>
  <c r="B17" i="14"/>
  <c r="B15" i="14"/>
  <c r="A14" i="14"/>
  <c r="B12" i="14"/>
  <c r="B11" i="14"/>
  <c r="B10" i="14"/>
  <c r="B9" i="14"/>
  <c r="Q17" i="14"/>
  <c r="Q18"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20" i="13" s="1"/>
  <c r="AO13" i="13"/>
  <c r="AP13" i="13"/>
  <c r="AQ13" i="13"/>
  <c r="AR13" i="13"/>
  <c r="BH13" i="13"/>
  <c r="BI13" i="13"/>
  <c r="BK13" i="13"/>
  <c r="CI13" i="13"/>
  <c r="CJ13" i="13"/>
  <c r="I19" i="13"/>
  <c r="J19" i="13"/>
  <c r="K19" i="13"/>
  <c r="L19" i="13"/>
  <c r="M19" i="13"/>
  <c r="N19" i="13"/>
  <c r="P19" i="13"/>
  <c r="Q19" i="13"/>
  <c r="R19" i="13"/>
  <c r="S19" i="13"/>
  <c r="T19" i="13"/>
  <c r="U19" i="13"/>
  <c r="V19" i="13"/>
  <c r="W19" i="13"/>
  <c r="X19" i="13"/>
  <c r="Y19" i="13"/>
  <c r="Z19" i="13"/>
  <c r="AA19" i="13"/>
  <c r="AB19" i="13"/>
  <c r="AC19" i="13"/>
  <c r="AD19" i="13"/>
  <c r="AE19" i="13"/>
  <c r="AF19" i="13"/>
  <c r="AG19" i="13"/>
  <c r="AH19" i="13"/>
  <c r="AI19" i="13"/>
  <c r="AJ19" i="13"/>
  <c r="AK19" i="13"/>
  <c r="AL19" i="13"/>
  <c r="AM19" i="13"/>
  <c r="AN19" i="13"/>
  <c r="AO19" i="13"/>
  <c r="AP19" i="13"/>
  <c r="AQ19" i="13"/>
  <c r="AR19" i="13"/>
  <c r="BH19" i="13"/>
  <c r="BI19" i="13"/>
  <c r="BK19" i="13"/>
  <c r="BM19" i="13"/>
  <c r="B2" i="8"/>
  <c r="A3" i="8"/>
  <c r="B3" i="8"/>
  <c r="A4" i="8"/>
  <c r="B4" i="8"/>
  <c r="A5" i="8"/>
  <c r="BC9" i="8"/>
  <c r="AY10" i="8"/>
  <c r="AZ10" i="8"/>
  <c r="BA10" i="8"/>
  <c r="BB10" i="8"/>
  <c r="BC10" i="8"/>
  <c r="BC11" i="8"/>
  <c r="BC12" i="8"/>
  <c r="BC15" i="8"/>
  <c r="BC17" i="8"/>
  <c r="AY18" i="8"/>
  <c r="AZ18" i="8"/>
  <c r="BA18" i="8"/>
  <c r="BB18" i="8"/>
  <c r="BC18" i="8"/>
  <c r="B7" i="14"/>
  <c r="A8" i="14"/>
  <c r="I9" i="14"/>
  <c r="J9" i="14"/>
  <c r="J10" i="14"/>
  <c r="J11" i="14"/>
  <c r="J12" i="14"/>
  <c r="I10" i="14"/>
  <c r="I11" i="14"/>
  <c r="I12" i="14"/>
  <c r="I15" i="14"/>
  <c r="J15" i="14"/>
  <c r="I17" i="14"/>
  <c r="J17" i="14"/>
  <c r="I18" i="14"/>
  <c r="B20" i="14"/>
  <c r="B23" i="14"/>
  <c r="D2" i="12"/>
  <c r="D3" i="12"/>
  <c r="D4" i="12"/>
  <c r="C7" i="12"/>
  <c r="H9" i="12"/>
  <c r="R9" i="12"/>
  <c r="Q9" i="12"/>
  <c r="S9" i="12"/>
  <c r="T9" i="12"/>
  <c r="G9" i="12" s="1"/>
  <c r="D10" i="12"/>
  <c r="E10" i="12"/>
  <c r="F10" i="12"/>
  <c r="G10" i="12"/>
  <c r="H10" i="12"/>
  <c r="H11" i="12"/>
  <c r="Q11" i="12"/>
  <c r="R11" i="12"/>
  <c r="E11" i="12" s="1"/>
  <c r="S11" i="12"/>
  <c r="T11" i="12"/>
  <c r="H12" i="12"/>
  <c r="Q12" i="12"/>
  <c r="D12" i="12" s="1"/>
  <c r="R12" i="12"/>
  <c r="S12" i="12"/>
  <c r="F12" i="12" s="1"/>
  <c r="T12" i="12"/>
  <c r="Q13" i="12"/>
  <c r="D15" i="12"/>
  <c r="E15" i="12"/>
  <c r="F15" i="12"/>
  <c r="G15" i="12"/>
  <c r="H15" i="12"/>
  <c r="D17" i="12"/>
  <c r="E17" i="12"/>
  <c r="F17" i="12"/>
  <c r="G17" i="12"/>
  <c r="H17" i="12"/>
  <c r="D18" i="12"/>
  <c r="E18" i="12"/>
  <c r="F18" i="12"/>
  <c r="G18" i="12"/>
  <c r="H18" i="12"/>
  <c r="D26" i="12"/>
  <c r="E26" i="12"/>
  <c r="F26" i="12"/>
  <c r="G26" i="12"/>
  <c r="H26" i="12"/>
  <c r="I26" i="12"/>
  <c r="J26" i="12"/>
  <c r="K26" i="12"/>
  <c r="D27" i="12"/>
  <c r="E27" i="12"/>
  <c r="F27" i="12"/>
  <c r="G27" i="12"/>
  <c r="H27" i="12"/>
  <c r="I27" i="12"/>
  <c r="J27" i="12"/>
  <c r="K27" i="12"/>
  <c r="C31" i="12"/>
  <c r="C8" i="11"/>
  <c r="A9" i="11"/>
  <c r="C9" i="11"/>
  <c r="AG9" i="11"/>
  <c r="AI9" i="11"/>
  <c r="AE9" i="11"/>
  <c r="AJ9" i="11"/>
  <c r="AK9" i="11"/>
  <c r="A10" i="11"/>
  <c r="C10" i="11"/>
  <c r="G10" i="11"/>
  <c r="AG10" i="11"/>
  <c r="AI10" i="11"/>
  <c r="AE10" i="11"/>
  <c r="AJ10" i="11"/>
  <c r="AK10" i="11"/>
  <c r="A11" i="11"/>
  <c r="C11" i="11"/>
  <c r="AG11" i="11"/>
  <c r="AI11" i="11"/>
  <c r="AE11" i="11"/>
  <c r="AJ11" i="11"/>
  <c r="AK11" i="11"/>
  <c r="A12" i="11"/>
  <c r="C12" i="11"/>
  <c r="AG12" i="11"/>
  <c r="AI12" i="11"/>
  <c r="AE12" i="11"/>
  <c r="AJ12" i="11"/>
  <c r="AK12" i="11"/>
  <c r="C13" i="11"/>
  <c r="C14" i="11"/>
  <c r="A15" i="11"/>
  <c r="C15" i="11"/>
  <c r="G15" i="11"/>
  <c r="AG15" i="11"/>
  <c r="AI15" i="11"/>
  <c r="AE15" i="11"/>
  <c r="AJ15" i="11"/>
  <c r="AK15" i="11"/>
  <c r="A17" i="11"/>
  <c r="C17" i="11"/>
  <c r="G17" i="11"/>
  <c r="AG17" i="11"/>
  <c r="AI17" i="11"/>
  <c r="AE17" i="11"/>
  <c r="AJ17" i="11"/>
  <c r="AK17" i="11"/>
  <c r="A18" i="11"/>
  <c r="C18" i="11"/>
  <c r="G18" i="11"/>
  <c r="AG18" i="11"/>
  <c r="AI18" i="11"/>
  <c r="AE18" i="11"/>
  <c r="AJ18" i="11"/>
  <c r="AK18" i="11"/>
  <c r="C19" i="11"/>
  <c r="C20" i="11"/>
  <c r="F26" i="11"/>
  <c r="G26" i="11"/>
  <c r="W26" i="11"/>
  <c r="AG26" i="11"/>
  <c r="AI26" i="11"/>
  <c r="AE26" i="11"/>
  <c r="AJ26" i="11"/>
  <c r="AK26" i="11"/>
  <c r="AL26" i="11"/>
  <c r="AM26" i="11"/>
  <c r="AN26" i="11"/>
  <c r="AO26" i="11"/>
  <c r="AP26" i="11"/>
  <c r="AQ26" i="11"/>
  <c r="F27" i="11"/>
  <c r="G27" i="11"/>
  <c r="W27" i="11"/>
  <c r="AG27" i="11"/>
  <c r="AI27" i="11"/>
  <c r="AE27" i="11"/>
  <c r="AJ27" i="11"/>
  <c r="AK27" i="11"/>
  <c r="AL27" i="11"/>
  <c r="AM27" i="11"/>
  <c r="AN27" i="11"/>
  <c r="AO27" i="11"/>
  <c r="AP27" i="11"/>
  <c r="AQ27" i="11"/>
  <c r="C31"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7" i="7"/>
  <c r="B17" i="7"/>
  <c r="C17" i="7"/>
  <c r="D17" i="7"/>
  <c r="E17" i="7"/>
  <c r="F17" i="7"/>
  <c r="G17" i="7"/>
  <c r="A18" i="7"/>
  <c r="B18" i="7"/>
  <c r="C18" i="7"/>
  <c r="D18" i="7"/>
  <c r="E18" i="7"/>
  <c r="F18" i="7"/>
  <c r="G18" i="7"/>
  <c r="A19" i="7"/>
  <c r="A20" i="7"/>
  <c r="A24" i="7"/>
  <c r="B2" i="6"/>
  <c r="B3" i="6"/>
  <c r="B4" i="6"/>
  <c r="A7" i="6"/>
  <c r="A8" i="6"/>
  <c r="A9" i="6"/>
  <c r="A10" i="6"/>
  <c r="A11" i="6"/>
  <c r="A12" i="6"/>
  <c r="A13" i="6"/>
  <c r="A14" i="6"/>
  <c r="A15" i="6"/>
  <c r="A17" i="6"/>
  <c r="A18" i="6"/>
  <c r="A19" i="6"/>
  <c r="A20" i="6"/>
  <c r="A24" i="6"/>
  <c r="B2" i="5"/>
  <c r="B3" i="5"/>
  <c r="B4" i="5"/>
  <c r="A5" i="5"/>
  <c r="A7" i="5"/>
  <c r="A8" i="5"/>
  <c r="A9" i="5"/>
  <c r="B9" i="5"/>
  <c r="C9" i="5"/>
  <c r="D9" i="5"/>
  <c r="A10" i="5"/>
  <c r="B10" i="5"/>
  <c r="C10" i="5"/>
  <c r="D10" i="5"/>
  <c r="A11" i="5"/>
  <c r="B11" i="5"/>
  <c r="C11" i="5"/>
  <c r="D11" i="5"/>
  <c r="A12" i="5"/>
  <c r="B12" i="5"/>
  <c r="C12" i="5"/>
  <c r="D12" i="5"/>
  <c r="A13" i="5"/>
  <c r="A14" i="5"/>
  <c r="A15" i="5"/>
  <c r="B15" i="5"/>
  <c r="B17" i="5"/>
  <c r="B18" i="5"/>
  <c r="C15" i="5"/>
  <c r="D15" i="5"/>
  <c r="A17" i="5"/>
  <c r="C17" i="5"/>
  <c r="C18" i="5"/>
  <c r="D17" i="5"/>
  <c r="A18" i="5"/>
  <c r="D18" i="5"/>
  <c r="A19" i="5"/>
  <c r="A20" i="5"/>
  <c r="A23"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7" i="3"/>
  <c r="C17" i="3"/>
  <c r="D17" i="3"/>
  <c r="F17" i="3"/>
  <c r="H17" i="3"/>
  <c r="A18" i="3"/>
  <c r="C18" i="3"/>
  <c r="D18" i="3"/>
  <c r="F18" i="3"/>
  <c r="H18" i="3"/>
  <c r="A20" i="3"/>
  <c r="A23"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7" i="10"/>
  <c r="B17" i="10"/>
  <c r="C17" i="10"/>
  <c r="D17" i="10"/>
  <c r="E17" i="10"/>
  <c r="F17" i="10" s="1"/>
  <c r="H17" i="10"/>
  <c r="A18" i="10"/>
  <c r="B18" i="10"/>
  <c r="C18" i="10"/>
  <c r="D18" i="10"/>
  <c r="E18" i="10"/>
  <c r="F18" i="10" s="1"/>
  <c r="H18" i="10"/>
  <c r="A24" i="10"/>
  <c r="B2" i="2"/>
  <c r="B3" i="2"/>
  <c r="B4" i="2"/>
  <c r="A8" i="2"/>
  <c r="A9" i="2"/>
  <c r="B9" i="2"/>
  <c r="A10" i="2"/>
  <c r="B10" i="2"/>
  <c r="A11" i="2"/>
  <c r="B11" i="2"/>
  <c r="A12" i="2"/>
  <c r="B12" i="2"/>
  <c r="A13" i="2"/>
  <c r="A14" i="2"/>
  <c r="A15" i="2"/>
  <c r="B15" i="2"/>
  <c r="A17" i="2"/>
  <c r="B17" i="2"/>
  <c r="A18" i="2"/>
  <c r="B18" i="2"/>
  <c r="A19" i="2"/>
  <c r="A20" i="2"/>
  <c r="A21" i="2"/>
  <c r="A22" i="2"/>
  <c r="A24" i="2"/>
  <c r="O26" i="11"/>
  <c r="O27" i="11"/>
  <c r="BD9" i="13"/>
  <c r="AN19" i="17"/>
  <c r="AZ13" i="19"/>
  <c r="BB13" i="19"/>
  <c r="BA19" i="19"/>
  <c r="AY13" i="19"/>
  <c r="BC13" i="19"/>
  <c r="AY19" i="19"/>
  <c r="BC19" i="19"/>
  <c r="BA13" i="19"/>
  <c r="BB19" i="19"/>
  <c r="AS19" i="21"/>
  <c r="R19" i="21"/>
  <c r="AI19" i="21"/>
  <c r="AH19" i="21"/>
  <c r="J19" i="21"/>
  <c r="AG19" i="21"/>
  <c r="N19" i="21"/>
  <c r="AN19" i="21"/>
  <c r="L19" i="21"/>
  <c r="Q19" i="21"/>
  <c r="AY19" i="21"/>
  <c r="AE19" i="21"/>
  <c r="AJ19" i="21"/>
  <c r="AK19" i="21"/>
  <c r="H19" i="21"/>
  <c r="Z19" i="21"/>
  <c r="AM19" i="21"/>
  <c r="M19" i="21"/>
  <c r="AD19" i="21"/>
  <c r="AF19" i="21"/>
  <c r="K19" i="21"/>
  <c r="E19" i="21"/>
  <c r="AO19" i="21"/>
  <c r="AR19" i="21"/>
  <c r="G19" i="21"/>
  <c r="AB19" i="21"/>
  <c r="P19" i="21"/>
  <c r="AL19" i="21"/>
  <c r="F19" i="21"/>
  <c r="AC19" i="21"/>
  <c r="AU19" i="21" s="1"/>
  <c r="J13" i="20"/>
  <c r="E13" i="20"/>
  <c r="Q13" i="20"/>
  <c r="G13" i="20"/>
  <c r="K13" i="20"/>
  <c r="AT13" i="20"/>
  <c r="AA13" i="20"/>
  <c r="R13" i="20"/>
  <c r="F13" i="20"/>
  <c r="V19" i="21"/>
  <c r="T19" i="21"/>
  <c r="BJ13" i="16"/>
  <c r="R13" i="12"/>
  <c r="P20" i="19"/>
  <c r="BE11" i="13"/>
  <c r="BD18" i="8"/>
  <c r="BF18" i="8"/>
  <c r="BC13" i="13"/>
  <c r="N10" i="11"/>
  <c r="N9" i="11"/>
  <c r="ES20" i="8"/>
  <c r="C19" i="7"/>
  <c r="AC20" i="13"/>
  <c r="R20" i="8"/>
  <c r="EP20" i="19"/>
  <c r="BD18" i="13"/>
  <c r="BE17" i="13"/>
  <c r="BF17" i="13"/>
  <c r="AE21" i="20"/>
  <c r="W21" i="21"/>
  <c r="AF21" i="27"/>
  <c r="O21" i="20"/>
  <c r="Q21" i="20"/>
  <c r="AZ21" i="20"/>
  <c r="Q21" i="27"/>
  <c r="AH21" i="20"/>
  <c r="Z21" i="27"/>
  <c r="AV21" i="20"/>
  <c r="H21" i="20"/>
  <c r="J21" i="20"/>
  <c r="E21" i="20"/>
  <c r="N21" i="27"/>
  <c r="BA21" i="27"/>
  <c r="BA21" i="20"/>
  <c r="AI21" i="27"/>
  <c r="AM21" i="20"/>
  <c r="AB21" i="27"/>
  <c r="S21" i="27"/>
  <c r="AF21" i="20"/>
  <c r="AY21" i="27"/>
  <c r="AI21" i="20"/>
  <c r="AR21" i="27"/>
  <c r="K21" i="20"/>
  <c r="AN21" i="20"/>
  <c r="AX21" i="20"/>
  <c r="AC21" i="20"/>
  <c r="AP21" i="27"/>
  <c r="T21" i="27"/>
  <c r="AO21" i="20"/>
  <c r="AB21" i="20"/>
  <c r="AD21" i="27"/>
  <c r="Y21" i="27"/>
  <c r="AQ21" i="21"/>
  <c r="AL21" i="20"/>
  <c r="AZ21" i="27"/>
  <c r="Z21" i="20"/>
  <c r="AQ21" i="20"/>
  <c r="BJ21" i="26"/>
  <c r="AG21" i="27"/>
  <c r="X21" i="20"/>
  <c r="AX21" i="27"/>
  <c r="G13" i="14"/>
  <c r="P21" i="20"/>
  <c r="AN21" i="27"/>
  <c r="AP21" i="20"/>
  <c r="O17" i="11"/>
  <c r="F21" i="20"/>
  <c r="AK21" i="27"/>
  <c r="J21" i="27"/>
  <c r="U17" i="11"/>
  <c r="K21" i="27"/>
  <c r="E21" i="27"/>
  <c r="AU21" i="27"/>
  <c r="W21" i="20"/>
  <c r="T21" i="20"/>
  <c r="U10" i="11"/>
  <c r="AW21" i="27"/>
  <c r="AG21" i="20"/>
  <c r="G19" i="14"/>
  <c r="AA21" i="20"/>
  <c r="AM21" i="27"/>
  <c r="AY21" i="20"/>
  <c r="AW21" i="20"/>
  <c r="AE21" i="27"/>
  <c r="F21" i="27"/>
  <c r="AV21" i="27"/>
  <c r="AL21" i="27"/>
  <c r="AJ21" i="20"/>
  <c r="M21" i="20"/>
  <c r="AA21" i="27"/>
  <c r="AH21" i="27"/>
  <c r="S21" i="20"/>
  <c r="AD21" i="20"/>
  <c r="X21" i="27"/>
  <c r="AQ21" i="27"/>
  <c r="O21" i="27"/>
  <c r="AU21" i="20"/>
  <c r="H21" i="27"/>
  <c r="W21" i="27"/>
  <c r="U12" i="11"/>
  <c r="N21" i="20"/>
  <c r="P21" i="27"/>
  <c r="AK21" i="20"/>
  <c r="Y21" i="20"/>
  <c r="M21" i="27"/>
  <c r="R21" i="20"/>
  <c r="L21" i="20"/>
  <c r="R21" i="27"/>
  <c r="L21" i="27"/>
  <c r="AJ21" i="27"/>
  <c r="I21" i="20"/>
  <c r="AC21" i="27"/>
  <c r="T21" i="21"/>
  <c r="B19" i="2" l="1"/>
  <c r="E12" i="3"/>
  <c r="AT19" i="20"/>
  <c r="F11" i="17"/>
  <c r="AQ11" i="17" s="1"/>
  <c r="I12" i="3"/>
  <c r="I17" i="10"/>
  <c r="K17" i="10" s="1"/>
  <c r="BD19" i="19"/>
  <c r="I20" i="19"/>
  <c r="AC20" i="19"/>
  <c r="EL20" i="19"/>
  <c r="BE18" i="13"/>
  <c r="AP12" i="11"/>
  <c r="T20" i="8"/>
  <c r="AA20" i="8"/>
  <c r="S20" i="8"/>
  <c r="BE10" i="8"/>
  <c r="J9" i="10"/>
  <c r="L9" i="10" s="1"/>
  <c r="I18" i="10"/>
  <c r="K18" i="10" s="1"/>
  <c r="I15" i="10"/>
  <c r="K15" i="10" s="1"/>
  <c r="AO20" i="19"/>
  <c r="AQ20" i="19"/>
  <c r="AS20" i="19"/>
  <c r="CK20" i="19"/>
  <c r="AE20" i="13"/>
  <c r="AB20" i="13"/>
  <c r="AQ20" i="13"/>
  <c r="Q20" i="13"/>
  <c r="BF9" i="13"/>
  <c r="BG9" i="13"/>
  <c r="BE9" i="13"/>
  <c r="ER20" i="13"/>
  <c r="BE15" i="13"/>
  <c r="EP20" i="8"/>
  <c r="EQ20" i="8"/>
  <c r="ER20" i="8"/>
  <c r="F17" i="11"/>
  <c r="AQ17" i="11" s="1"/>
  <c r="F15" i="2"/>
  <c r="BE19" i="19"/>
  <c r="AO13" i="27"/>
  <c r="AO19" i="20"/>
  <c r="V20" i="19"/>
  <c r="AE13" i="21"/>
  <c r="AE20" i="21" s="1"/>
  <c r="AD20" i="13"/>
  <c r="AY13" i="13"/>
  <c r="BA19" i="13"/>
  <c r="BD19" i="13" s="1"/>
  <c r="BD10" i="13"/>
  <c r="BG17" i="13"/>
  <c r="J17" i="10"/>
  <c r="L17" i="10" s="1"/>
  <c r="BE18" i="8"/>
  <c r="BE11" i="8"/>
  <c r="BE15" i="8"/>
  <c r="I15" i="7" s="1"/>
  <c r="AR13" i="11"/>
  <c r="G19" i="7"/>
  <c r="AW19" i="21"/>
  <c r="AP10" i="11"/>
  <c r="AO13" i="20"/>
  <c r="BF19" i="19"/>
  <c r="R20" i="19"/>
  <c r="AT20" i="27" s="1"/>
  <c r="AD20" i="19"/>
  <c r="AS13" i="21"/>
  <c r="N20" i="19"/>
  <c r="Z20" i="19"/>
  <c r="AJ20" i="19"/>
  <c r="CJ20" i="19"/>
  <c r="U20" i="19"/>
  <c r="AG20" i="19"/>
  <c r="T20" i="19"/>
  <c r="X20" i="13"/>
  <c r="V20" i="13"/>
  <c r="AZ13" i="13"/>
  <c r="BD11" i="13"/>
  <c r="AO20" i="13"/>
  <c r="AZ19" i="13"/>
  <c r="BD17" i="13"/>
  <c r="BH20" i="13"/>
  <c r="AI20" i="13"/>
  <c r="U20" i="13"/>
  <c r="S20" i="13"/>
  <c r="BK20" i="13"/>
  <c r="AM20" i="13"/>
  <c r="AA20" i="13"/>
  <c r="W20" i="13"/>
  <c r="BG11" i="13"/>
  <c r="AV19" i="17"/>
  <c r="AI20" i="8"/>
  <c r="C20" i="3"/>
  <c r="BJ13" i="26"/>
  <c r="AR13" i="21"/>
  <c r="B13" i="3"/>
  <c r="B13" i="2"/>
  <c r="B19" i="7"/>
  <c r="D19" i="12"/>
  <c r="T10" i="21"/>
  <c r="T13" i="21" s="1"/>
  <c r="T20" i="21" s="1"/>
  <c r="S10" i="21"/>
  <c r="S13" i="21" s="1"/>
  <c r="S20" i="21" s="1"/>
  <c r="AO13" i="21"/>
  <c r="AO20" i="21" s="1"/>
  <c r="X20" i="8"/>
  <c r="AJ20" i="8"/>
  <c r="I10" i="10"/>
  <c r="K10" i="10" s="1"/>
  <c r="I9" i="10"/>
  <c r="K9" i="10" s="1"/>
  <c r="E10" i="3"/>
  <c r="BG18" i="8"/>
  <c r="BG10" i="8"/>
  <c r="K10" i="7" s="1"/>
  <c r="BF12" i="8"/>
  <c r="J12" i="7" s="1"/>
  <c r="BD15" i="8"/>
  <c r="H15" i="7" s="1"/>
  <c r="D13" i="7"/>
  <c r="EL20" i="8"/>
  <c r="U20" i="8"/>
  <c r="Y10" i="11"/>
  <c r="F9" i="11"/>
  <c r="AQ9" i="11" s="1"/>
  <c r="BI18" i="26"/>
  <c r="AN12" i="11"/>
  <c r="G18" i="3"/>
  <c r="J12" i="10"/>
  <c r="L12" i="10" s="1"/>
  <c r="I11" i="10"/>
  <c r="K11" i="10" s="1"/>
  <c r="M19" i="2"/>
  <c r="N13" i="2"/>
  <c r="N19" i="2"/>
  <c r="AR20" i="19"/>
  <c r="BK20" i="19"/>
  <c r="AT19" i="27"/>
  <c r="BW18" i="20"/>
  <c r="BX18" i="20"/>
  <c r="AM13" i="21"/>
  <c r="AM20" i="21" s="1"/>
  <c r="X20" i="19"/>
  <c r="AA20" i="19"/>
  <c r="BI20" i="19"/>
  <c r="Q20" i="19"/>
  <c r="AN20" i="19"/>
  <c r="AM20" i="19"/>
  <c r="M20" i="19"/>
  <c r="AK20" i="19"/>
  <c r="AR13" i="20"/>
  <c r="AR13" i="27"/>
  <c r="AP20" i="19"/>
  <c r="BE13" i="19"/>
  <c r="AL20" i="19"/>
  <c r="S20" i="19"/>
  <c r="CL20" i="19"/>
  <c r="BC20" i="19"/>
  <c r="AF20" i="19"/>
  <c r="AY20" i="19"/>
  <c r="BX17" i="20"/>
  <c r="BW17" i="20"/>
  <c r="AI20" i="19"/>
  <c r="ER20" i="19"/>
  <c r="BB20" i="19"/>
  <c r="BX15" i="20"/>
  <c r="BW15" i="20"/>
  <c r="AO19" i="27"/>
  <c r="K13" i="17"/>
  <c r="J19" i="17"/>
  <c r="AT19" i="17"/>
  <c r="AT20" i="17" s="1"/>
  <c r="N12" i="11"/>
  <c r="N11" i="11"/>
  <c r="Y18" i="11"/>
  <c r="R19" i="11"/>
  <c r="AB19" i="11"/>
  <c r="AF19" i="11"/>
  <c r="AC15" i="11"/>
  <c r="J13" i="11"/>
  <c r="AI19" i="11"/>
  <c r="AP15" i="11"/>
  <c r="AP9" i="11"/>
  <c r="E17" i="3"/>
  <c r="G15" i="3"/>
  <c r="H12" i="2"/>
  <c r="B9" i="6"/>
  <c r="F9" i="2"/>
  <c r="J18" i="7"/>
  <c r="BI18" i="16"/>
  <c r="J12" i="2"/>
  <c r="BC19" i="13"/>
  <c r="Z20" i="13"/>
  <c r="BE10" i="13"/>
  <c r="Y20" i="13"/>
  <c r="BD15" i="13"/>
  <c r="BB13" i="13"/>
  <c r="BG15" i="13"/>
  <c r="BM20" i="13"/>
  <c r="L20" i="13"/>
  <c r="N20" i="13"/>
  <c r="BB19" i="13"/>
  <c r="BA13" i="13"/>
  <c r="BF13" i="13" s="1"/>
  <c r="BG10" i="13"/>
  <c r="AK20" i="13"/>
  <c r="AT13" i="11"/>
  <c r="AE13" i="17"/>
  <c r="E13" i="17"/>
  <c r="CI20" i="8"/>
  <c r="EN20" i="8"/>
  <c r="AH13" i="11"/>
  <c r="AP11" i="11"/>
  <c r="K19" i="11"/>
  <c r="BC22" i="21"/>
  <c r="R13" i="11"/>
  <c r="O13" i="21"/>
  <c r="O20" i="21" s="1"/>
  <c r="AN13" i="21"/>
  <c r="AN20" i="21" s="1"/>
  <c r="AL9" i="11"/>
  <c r="AV19" i="11"/>
  <c r="AY13" i="21"/>
  <c r="F10" i="2"/>
  <c r="AL10" i="11"/>
  <c r="W20" i="8"/>
  <c r="J19" i="11"/>
  <c r="L13" i="21"/>
  <c r="L20" i="21" s="1"/>
  <c r="BK20" i="8"/>
  <c r="AX22" i="11"/>
  <c r="BF17" i="8"/>
  <c r="J17" i="7" s="1"/>
  <c r="BM19" i="26"/>
  <c r="BM19" i="16"/>
  <c r="EM20" i="8"/>
  <c r="AL13" i="21"/>
  <c r="AL22" i="21" s="1"/>
  <c r="BA22" i="21"/>
  <c r="H20" i="21"/>
  <c r="Q20" i="8"/>
  <c r="AG20" i="8"/>
  <c r="AV19" i="21"/>
  <c r="I17" i="3"/>
  <c r="I11" i="3"/>
  <c r="Y20" i="8"/>
  <c r="AV13" i="17"/>
  <c r="AV20" i="17" s="1"/>
  <c r="O20" i="8"/>
  <c r="G17" i="3"/>
  <c r="G11" i="3"/>
  <c r="K19" i="17"/>
  <c r="BF9" i="8"/>
  <c r="J9" i="7" s="1"/>
  <c r="AR19" i="11"/>
  <c r="I12" i="10"/>
  <c r="K12" i="10" s="1"/>
  <c r="AJ13" i="17"/>
  <c r="BM20" i="8"/>
  <c r="AE13" i="11"/>
  <c r="E15" i="3"/>
  <c r="I15" i="3"/>
  <c r="AC13" i="17"/>
  <c r="AG13" i="17"/>
  <c r="AT20" i="8"/>
  <c r="J18" i="10"/>
  <c r="L18" i="10" s="1"/>
  <c r="AM20" i="8"/>
  <c r="AB20" i="8"/>
  <c r="J15" i="10"/>
  <c r="L15" i="10" s="1"/>
  <c r="H19" i="3"/>
  <c r="I19" i="3" s="1"/>
  <c r="D13" i="5"/>
  <c r="AG13" i="11"/>
  <c r="C13" i="5"/>
  <c r="S13" i="11"/>
  <c r="I18" i="3"/>
  <c r="C19" i="5"/>
  <c r="D12" i="6"/>
  <c r="E12" i="12"/>
  <c r="E18" i="3"/>
  <c r="I10" i="3"/>
  <c r="AV13" i="11"/>
  <c r="I19" i="11"/>
  <c r="J11" i="10"/>
  <c r="L11" i="10" s="1"/>
  <c r="AS19" i="11"/>
  <c r="BD12" i="8"/>
  <c r="H12" i="7" s="1"/>
  <c r="BD17" i="8"/>
  <c r="H17" i="7" s="1"/>
  <c r="AN10" i="11"/>
  <c r="AH20" i="8"/>
  <c r="D19" i="7"/>
  <c r="BG19" i="26"/>
  <c r="J10" i="10"/>
  <c r="L10" i="10" s="1"/>
  <c r="I20" i="8"/>
  <c r="M13" i="2"/>
  <c r="AH19" i="11"/>
  <c r="BG13" i="26"/>
  <c r="E19" i="7"/>
  <c r="AP18" i="11"/>
  <c r="AK19" i="17"/>
  <c r="AF13" i="17"/>
  <c r="AO12" i="11"/>
  <c r="AN11" i="11"/>
  <c r="J10" i="2"/>
  <c r="AC10" i="11"/>
  <c r="B13" i="7"/>
  <c r="AK20" i="8"/>
  <c r="H19" i="12"/>
  <c r="F17" i="17"/>
  <c r="AQ17" i="17" s="1"/>
  <c r="E9" i="6"/>
  <c r="M13" i="21"/>
  <c r="M20" i="21" s="1"/>
  <c r="BG12" i="8"/>
  <c r="L9" i="14"/>
  <c r="AF13" i="11"/>
  <c r="L19" i="11"/>
  <c r="Z20" i="8"/>
  <c r="AL20" i="8"/>
  <c r="K19" i="2"/>
  <c r="AB13" i="20"/>
  <c r="F15" i="17"/>
  <c r="AQ15" i="17" s="1"/>
  <c r="BI17" i="16"/>
  <c r="BI17" i="26"/>
  <c r="BI15" i="16"/>
  <c r="BI15" i="26"/>
  <c r="J15" i="2"/>
  <c r="AS13" i="8"/>
  <c r="AS20" i="8" s="1"/>
  <c r="U13" i="26"/>
  <c r="U20" i="26" s="1"/>
  <c r="AL15" i="11"/>
  <c r="H15" i="2"/>
  <c r="AO11" i="11"/>
  <c r="G12" i="12"/>
  <c r="F11" i="11"/>
  <c r="AQ11" i="11" s="1"/>
  <c r="L15" i="14"/>
  <c r="F15" i="11"/>
  <c r="AQ15" i="11" s="1"/>
  <c r="I19" i="2"/>
  <c r="J19" i="2" s="1"/>
  <c r="E15" i="6"/>
  <c r="Z13" i="17"/>
  <c r="C12" i="14"/>
  <c r="K12" i="14" s="1"/>
  <c r="AY13" i="8"/>
  <c r="BE12" i="21"/>
  <c r="BE13" i="21" s="1"/>
  <c r="BE20" i="21" s="1"/>
  <c r="C10" i="14"/>
  <c r="K10" i="14" s="1"/>
  <c r="C15" i="14"/>
  <c r="K15" i="14" s="1"/>
  <c r="E12" i="6"/>
  <c r="H18" i="7"/>
  <c r="E11" i="6"/>
  <c r="D18" i="6"/>
  <c r="J18" i="12" s="1"/>
  <c r="AN18" i="11"/>
  <c r="AO18" i="11"/>
  <c r="C12" i="6"/>
  <c r="C11" i="6"/>
  <c r="F12" i="11"/>
  <c r="AQ12" i="11" s="1"/>
  <c r="D11" i="2"/>
  <c r="C10" i="6"/>
  <c r="I10" i="12" s="1"/>
  <c r="D11" i="12"/>
  <c r="AG13" i="21"/>
  <c r="AG20" i="21" s="1"/>
  <c r="BE12" i="8"/>
  <c r="I12" i="7" s="1"/>
  <c r="BF15" i="8"/>
  <c r="J15" i="7" s="1"/>
  <c r="K12" i="7"/>
  <c r="AN17" i="11"/>
  <c r="H11" i="2"/>
  <c r="L11" i="14"/>
  <c r="G19" i="2"/>
  <c r="H19" i="2" s="1"/>
  <c r="AL12" i="11"/>
  <c r="D17" i="6"/>
  <c r="F12" i="2"/>
  <c r="AL11" i="11"/>
  <c r="AN15" i="11"/>
  <c r="D15" i="6"/>
  <c r="BF11" i="8"/>
  <c r="J11" i="7" s="1"/>
  <c r="AO17" i="11"/>
  <c r="B11" i="6"/>
  <c r="C17" i="6"/>
  <c r="I11" i="7"/>
  <c r="J9" i="2"/>
  <c r="L17" i="14"/>
  <c r="H18" i="2"/>
  <c r="D9" i="12"/>
  <c r="E9" i="12"/>
  <c r="B12" i="6"/>
  <c r="BE9" i="8"/>
  <c r="I9" i="7" s="1"/>
  <c r="T19" i="17"/>
  <c r="E19" i="2"/>
  <c r="F19" i="2" s="1"/>
  <c r="E17" i="6"/>
  <c r="B17" i="6"/>
  <c r="R8" i="9"/>
  <c r="BH19" i="26" s="1"/>
  <c r="AL17" i="11"/>
  <c r="BG9" i="8"/>
  <c r="F11" i="12"/>
  <c r="H9" i="2"/>
  <c r="AN9" i="11"/>
  <c r="D9" i="6"/>
  <c r="C9" i="6"/>
  <c r="K18" i="7"/>
  <c r="C18" i="6"/>
  <c r="I18" i="12" s="1"/>
  <c r="L18" i="14"/>
  <c r="W13" i="17"/>
  <c r="C15" i="6"/>
  <c r="S18" i="16"/>
  <c r="BV12" i="16"/>
  <c r="BM17" i="11"/>
  <c r="AF13" i="21"/>
  <c r="AF20" i="21" s="1"/>
  <c r="X15" i="16"/>
  <c r="X19" i="16" s="1"/>
  <c r="E18" i="6"/>
  <c r="K18" i="12" s="1"/>
  <c r="B18" i="6"/>
  <c r="AL18" i="11"/>
  <c r="F9" i="12"/>
  <c r="Y9" i="11"/>
  <c r="U13" i="16"/>
  <c r="BD9" i="8"/>
  <c r="H9" i="7" s="1"/>
  <c r="F18" i="17"/>
  <c r="AQ18" i="17" s="1"/>
  <c r="D9" i="2"/>
  <c r="AO9" i="11"/>
  <c r="X11" i="17"/>
  <c r="X17" i="20"/>
  <c r="B15" i="6"/>
  <c r="D15" i="2"/>
  <c r="C19" i="2"/>
  <c r="D19" i="2" s="1"/>
  <c r="AO15" i="11"/>
  <c r="AP19" i="20"/>
  <c r="AY19" i="8"/>
  <c r="BG15" i="8"/>
  <c r="L12" i="14"/>
  <c r="BG17" i="8"/>
  <c r="K17" i="7" s="1"/>
  <c r="X9" i="16"/>
  <c r="X20" i="16" s="1"/>
  <c r="AB13" i="21"/>
  <c r="AB20" i="21" s="1"/>
  <c r="BD11" i="8"/>
  <c r="H11" i="7" s="1"/>
  <c r="F18" i="11"/>
  <c r="AQ18" i="11" s="1"/>
  <c r="AQ10" i="17"/>
  <c r="F18" i="2"/>
  <c r="S15" i="14"/>
  <c r="V15" i="14" s="1"/>
  <c r="P13" i="16"/>
  <c r="AI13" i="11"/>
  <c r="Z13" i="11"/>
  <c r="AK13" i="17"/>
  <c r="AL13" i="17"/>
  <c r="AM13" i="17"/>
  <c r="N13" i="21"/>
  <c r="N20" i="21" s="1"/>
  <c r="F13" i="7"/>
  <c r="E13" i="11"/>
  <c r="N13" i="17"/>
  <c r="BA13" i="8"/>
  <c r="I13" i="11"/>
  <c r="J13" i="17"/>
  <c r="CO20" i="8"/>
  <c r="B13" i="5"/>
  <c r="AU13" i="11"/>
  <c r="AA13" i="11"/>
  <c r="AD13" i="11"/>
  <c r="C13" i="7"/>
  <c r="E13" i="21"/>
  <c r="AS13" i="11"/>
  <c r="AX22" i="17"/>
  <c r="H19" i="16"/>
  <c r="H20" i="16" s="1"/>
  <c r="F15" i="16"/>
  <c r="BL15" i="16" s="1"/>
  <c r="BN19" i="16"/>
  <c r="BN20" i="16" s="1"/>
  <c r="G13" i="16"/>
  <c r="AH13" i="16"/>
  <c r="AH20" i="16" s="1"/>
  <c r="AG13" i="16"/>
  <c r="F11" i="16"/>
  <c r="BL11" i="16" s="1"/>
  <c r="AJ13" i="16"/>
  <c r="AV13" i="16"/>
  <c r="F18" i="16"/>
  <c r="BL18" i="16" s="1"/>
  <c r="BB20" i="16"/>
  <c r="I18" i="7"/>
  <c r="AC18" i="11"/>
  <c r="C18" i="14"/>
  <c r="K18" i="14" s="1"/>
  <c r="L10" i="14"/>
  <c r="D10" i="6"/>
  <c r="H10" i="2"/>
  <c r="G13" i="2"/>
  <c r="AQ10" i="11"/>
  <c r="E13" i="2"/>
  <c r="B10" i="6"/>
  <c r="E10" i="6"/>
  <c r="AO10" i="11"/>
  <c r="G13" i="21"/>
  <c r="G21" i="21" s="1"/>
  <c r="I10" i="7"/>
  <c r="L20" i="8"/>
  <c r="I13" i="2"/>
  <c r="AT10" i="21"/>
  <c r="W19" i="16"/>
  <c r="AY19" i="11"/>
  <c r="AJ19" i="17"/>
  <c r="H22" i="21"/>
  <c r="AY13" i="11"/>
  <c r="O19" i="16"/>
  <c r="AQ19" i="20"/>
  <c r="AU19" i="20"/>
  <c r="AU20" i="20" s="1"/>
  <c r="Z19" i="16"/>
  <c r="F17" i="16"/>
  <c r="BL17" i="16" s="1"/>
  <c r="AS13" i="16"/>
  <c r="BD19" i="16"/>
  <c r="BE13" i="16"/>
  <c r="BF13" i="16"/>
  <c r="BK13" i="16"/>
  <c r="I13" i="16"/>
  <c r="AF13" i="16"/>
  <c r="X17" i="16"/>
  <c r="AB13" i="16"/>
  <c r="BD13" i="16"/>
  <c r="K20" i="13"/>
  <c r="D13" i="14"/>
  <c r="G13" i="11"/>
  <c r="D13" i="12" s="1"/>
  <c r="C13" i="2"/>
  <c r="G13" i="17"/>
  <c r="E13" i="7"/>
  <c r="AA13" i="17"/>
  <c r="BG13" i="16"/>
  <c r="G13" i="7"/>
  <c r="K13" i="2"/>
  <c r="T13" i="17"/>
  <c r="BH19" i="16"/>
  <c r="BG19" i="16"/>
  <c r="F19" i="12"/>
  <c r="D19" i="14"/>
  <c r="G19" i="11"/>
  <c r="W13" i="11"/>
  <c r="F13" i="12" s="1"/>
  <c r="D19" i="3"/>
  <c r="E19" i="3" s="1"/>
  <c r="U12" i="17"/>
  <c r="W13" i="16"/>
  <c r="M20" i="8"/>
  <c r="F19" i="7"/>
  <c r="AX20" i="21"/>
  <c r="BD22" i="21"/>
  <c r="AT19" i="21"/>
  <c r="AA19" i="21"/>
  <c r="BD20" i="21"/>
  <c r="AZ22" i="21"/>
  <c r="AC19" i="20"/>
  <c r="AC22" i="20" s="1"/>
  <c r="AX19" i="20"/>
  <c r="J19" i="20"/>
  <c r="J22" i="20" s="1"/>
  <c r="O19" i="20"/>
  <c r="O20" i="20" s="1"/>
  <c r="AK19" i="20"/>
  <c r="AK22" i="20" s="1"/>
  <c r="BB22" i="20"/>
  <c r="AN19" i="20"/>
  <c r="AN20" i="20" s="1"/>
  <c r="AE19" i="20"/>
  <c r="AE22" i="20" s="1"/>
  <c r="AV19" i="20"/>
  <c r="AV20" i="20" s="1"/>
  <c r="AF19" i="20"/>
  <c r="AF20" i="20" s="1"/>
  <c r="AB19" i="20"/>
  <c r="AJ19" i="20"/>
  <c r="AJ20" i="20" s="1"/>
  <c r="P19" i="20"/>
  <c r="P20" i="20" s="1"/>
  <c r="H19" i="20"/>
  <c r="H20" i="20" s="1"/>
  <c r="K19" i="20"/>
  <c r="F18" i="20"/>
  <c r="AS18" i="20" s="1"/>
  <c r="AL19" i="20"/>
  <c r="AL20" i="20" s="1"/>
  <c r="AA19" i="20"/>
  <c r="AA20" i="20" s="1"/>
  <c r="G19" i="20"/>
  <c r="G21" i="20" s="1"/>
  <c r="Y19" i="20"/>
  <c r="Y20" i="20" s="1"/>
  <c r="AG19" i="20"/>
  <c r="AG20" i="20" s="1"/>
  <c r="Z19" i="20"/>
  <c r="Z20" i="20" s="1"/>
  <c r="L19" i="20"/>
  <c r="E19" i="20"/>
  <c r="AB20" i="17"/>
  <c r="AL19" i="17"/>
  <c r="R19" i="17"/>
  <c r="Y13" i="17"/>
  <c r="Y19" i="17"/>
  <c r="O19" i="17"/>
  <c r="O20" i="17" s="1"/>
  <c r="AH22" i="17"/>
  <c r="J13" i="16"/>
  <c r="F9" i="16"/>
  <c r="BL9" i="16" s="1"/>
  <c r="AC19" i="16"/>
  <c r="AZ19" i="16"/>
  <c r="J19" i="16"/>
  <c r="BS19" i="16"/>
  <c r="AD13" i="16"/>
  <c r="AD20" i="16" s="1"/>
  <c r="Q13" i="16"/>
  <c r="AS19" i="16"/>
  <c r="AZ13" i="16"/>
  <c r="AW20" i="11"/>
  <c r="AC17" i="11"/>
  <c r="K13" i="11"/>
  <c r="AT19" i="11"/>
  <c r="M13" i="11"/>
  <c r="L13" i="11"/>
  <c r="AP17" i="11"/>
  <c r="Z19" i="11"/>
  <c r="AB13" i="11"/>
  <c r="W19" i="11"/>
  <c r="Y17" i="11"/>
  <c r="X19" i="11"/>
  <c r="AC9" i="11"/>
  <c r="H13" i="11"/>
  <c r="E13" i="12" s="1"/>
  <c r="S19" i="11"/>
  <c r="H19" i="11"/>
  <c r="X13" i="11"/>
  <c r="AA19" i="11"/>
  <c r="M19" i="11"/>
  <c r="C17" i="14"/>
  <c r="K17" i="14" s="1"/>
  <c r="F19" i="3"/>
  <c r="G19" i="3" s="1"/>
  <c r="H13" i="3"/>
  <c r="AJ19" i="11"/>
  <c r="D19" i="5"/>
  <c r="F17" i="2"/>
  <c r="H17" i="2"/>
  <c r="J17" i="2"/>
  <c r="F13" i="3"/>
  <c r="E9" i="3"/>
  <c r="G9" i="3"/>
  <c r="W19" i="17"/>
  <c r="X19" i="17" s="1"/>
  <c r="AU19" i="11"/>
  <c r="CK20" i="8"/>
  <c r="AM13" i="16"/>
  <c r="AX19" i="16"/>
  <c r="AY19" i="16"/>
  <c r="L19" i="17"/>
  <c r="L20" i="17" s="1"/>
  <c r="BM13" i="16"/>
  <c r="AE13" i="16"/>
  <c r="AE20" i="16" s="1"/>
  <c r="BH20" i="8"/>
  <c r="AF19" i="16"/>
  <c r="AT19" i="16"/>
  <c r="BU19" i="16"/>
  <c r="K13" i="16"/>
  <c r="K20" i="16" s="1"/>
  <c r="P13" i="21"/>
  <c r="P20" i="21" s="1"/>
  <c r="BB13" i="8"/>
  <c r="AB19" i="16"/>
  <c r="AT13" i="16"/>
  <c r="BC13" i="16"/>
  <c r="AW22" i="17"/>
  <c r="P19" i="16"/>
  <c r="M19" i="17"/>
  <c r="M20" i="17" s="1"/>
  <c r="K20" i="8"/>
  <c r="BG11" i="8"/>
  <c r="K11" i="7" s="1"/>
  <c r="BD10" i="8"/>
  <c r="H10" i="7" s="1"/>
  <c r="AF20" i="8"/>
  <c r="AC13" i="16"/>
  <c r="AE19" i="17"/>
  <c r="H19" i="17"/>
  <c r="H20" i="17" s="1"/>
  <c r="AH13" i="21"/>
  <c r="AH20" i="21" s="1"/>
  <c r="B19" i="5"/>
  <c r="E13" i="16"/>
  <c r="F12" i="16"/>
  <c r="BL12" i="16" s="1"/>
  <c r="K13" i="21"/>
  <c r="K20" i="21" s="1"/>
  <c r="U19" i="16"/>
  <c r="L13" i="16"/>
  <c r="BC13" i="8"/>
  <c r="G19" i="17"/>
  <c r="AR19" i="17"/>
  <c r="N13" i="16"/>
  <c r="V13" i="17"/>
  <c r="V20" i="17" s="1"/>
  <c r="AV19" i="16"/>
  <c r="AW19" i="16"/>
  <c r="AY13" i="16"/>
  <c r="AG19" i="17"/>
  <c r="AI13" i="21"/>
  <c r="AI20" i="21" s="1"/>
  <c r="BB22" i="21"/>
  <c r="AK13" i="21"/>
  <c r="AK20" i="21" s="1"/>
  <c r="BI20" i="13"/>
  <c r="AL20" i="13"/>
  <c r="M20" i="13"/>
  <c r="BF18" i="13"/>
  <c r="J20" i="13"/>
  <c r="T20" i="13"/>
  <c r="BF11" i="13"/>
  <c r="I20" i="13"/>
  <c r="BF10" i="13"/>
  <c r="AF20" i="13"/>
  <c r="P20" i="13"/>
  <c r="J20" i="20"/>
  <c r="S19" i="20"/>
  <c r="S20" i="20" s="1"/>
  <c r="W19" i="20"/>
  <c r="X19" i="20" s="1"/>
  <c r="L20" i="19"/>
  <c r="J20" i="19"/>
  <c r="M20" i="20"/>
  <c r="AD19" i="20"/>
  <c r="AD22" i="20" s="1"/>
  <c r="AI19" i="20"/>
  <c r="F17" i="20"/>
  <c r="K20" i="19"/>
  <c r="O20" i="19"/>
  <c r="W20" i="19"/>
  <c r="AE20" i="19"/>
  <c r="BH20" i="19"/>
  <c r="BC22" i="20"/>
  <c r="AC13" i="21"/>
  <c r="AC22" i="21" s="1"/>
  <c r="AS13" i="20"/>
  <c r="I19" i="20"/>
  <c r="I20" i="20" s="1"/>
  <c r="BC20" i="21"/>
  <c r="AZ20" i="19"/>
  <c r="AD13" i="21"/>
  <c r="AD20" i="21" s="1"/>
  <c r="Z13" i="21"/>
  <c r="AJ13" i="21"/>
  <c r="F13" i="21"/>
  <c r="F20" i="21" s="1"/>
  <c r="CI20" i="19"/>
  <c r="AR20" i="27" s="1"/>
  <c r="EN20" i="19"/>
  <c r="AM19" i="20"/>
  <c r="AM22" i="20" s="1"/>
  <c r="EQ20" i="19"/>
  <c r="U19" i="20"/>
  <c r="AT12" i="21"/>
  <c r="AI20" i="20"/>
  <c r="AH20" i="19"/>
  <c r="AH19" i="20"/>
  <c r="AH20" i="20" s="1"/>
  <c r="BG19" i="19"/>
  <c r="I13" i="21"/>
  <c r="I20" i="21" s="1"/>
  <c r="EO20" i="19"/>
  <c r="C11" i="14"/>
  <c r="K11" i="14" s="1"/>
  <c r="AE19" i="11"/>
  <c r="AJ13" i="11"/>
  <c r="F19" i="14"/>
  <c r="E19" i="14"/>
  <c r="F13" i="14"/>
  <c r="J20" i="8"/>
  <c r="C9" i="14"/>
  <c r="BC19" i="8"/>
  <c r="AZ19" i="8"/>
  <c r="AG19" i="11"/>
  <c r="AK19" i="11"/>
  <c r="E13" i="14"/>
  <c r="AQ20" i="20"/>
  <c r="AR20" i="20"/>
  <c r="D11" i="6"/>
  <c r="E11" i="3"/>
  <c r="BH17" i="16"/>
  <c r="AM18" i="11"/>
  <c r="P20" i="8"/>
  <c r="AO11" i="17"/>
  <c r="BA20" i="19"/>
  <c r="BD13" i="19"/>
  <c r="BF13" i="19"/>
  <c r="AD20" i="8"/>
  <c r="V20" i="8"/>
  <c r="U17" i="21"/>
  <c r="U19" i="21" s="1"/>
  <c r="V18" i="20"/>
  <c r="U15" i="17"/>
  <c r="U19" i="17" s="1"/>
  <c r="X18" i="16"/>
  <c r="D13" i="3"/>
  <c r="N20" i="8"/>
  <c r="G20" i="7" s="1"/>
  <c r="AP20" i="20"/>
  <c r="J11" i="2"/>
  <c r="F11" i="2"/>
  <c r="BE17" i="8"/>
  <c r="I17" i="7" s="1"/>
  <c r="BB19" i="8"/>
  <c r="AK13" i="11"/>
  <c r="BA19" i="8"/>
  <c r="AR20" i="13"/>
  <c r="AJ20" i="13"/>
  <c r="N19" i="17"/>
  <c r="I9" i="3"/>
  <c r="AN20" i="8"/>
  <c r="M19" i="16"/>
  <c r="E19" i="17"/>
  <c r="AH20" i="13"/>
  <c r="R20" i="13"/>
  <c r="AP20" i="13"/>
  <c r="BG13" i="19"/>
  <c r="BF10" i="8"/>
  <c r="J10" i="7" s="1"/>
  <c r="AZ13" i="8"/>
  <c r="AG20" i="13"/>
  <c r="BF19" i="16"/>
  <c r="AY19" i="13"/>
  <c r="BG18" i="13"/>
  <c r="CL20" i="8"/>
  <c r="G11" i="12"/>
  <c r="CJ20" i="8"/>
  <c r="AP19" i="17"/>
  <c r="N20" i="20"/>
  <c r="CP20" i="8"/>
  <c r="J13" i="21"/>
  <c r="J18" i="2"/>
  <c r="E19" i="16"/>
  <c r="M13" i="16"/>
  <c r="R19" i="16"/>
  <c r="AD20" i="17"/>
  <c r="AW13" i="16"/>
  <c r="BT13" i="16"/>
  <c r="AD19" i="11"/>
  <c r="Q19" i="16"/>
  <c r="AA19" i="17"/>
  <c r="AU13" i="16"/>
  <c r="AU19" i="16"/>
  <c r="BC19" i="16"/>
  <c r="BE19" i="16"/>
  <c r="AI20" i="17"/>
  <c r="AM19" i="16"/>
  <c r="BO19" i="16"/>
  <c r="BO20" i="16" s="1"/>
  <c r="E19" i="11"/>
  <c r="I19" i="16"/>
  <c r="BJ19" i="16"/>
  <c r="BU13" i="16"/>
  <c r="AM19" i="17"/>
  <c r="AS19" i="17"/>
  <c r="AS20" i="17" s="1"/>
  <c r="Z19" i="17"/>
  <c r="Z20" i="17" s="1"/>
  <c r="BL10" i="16"/>
  <c r="F9" i="17"/>
  <c r="EM20" i="19"/>
  <c r="AR19" i="20"/>
  <c r="X10" i="16"/>
  <c r="I13" i="17"/>
  <c r="BF12" i="13"/>
  <c r="G19" i="16"/>
  <c r="AX13" i="16"/>
  <c r="BQ13" i="16"/>
  <c r="BQ19" i="16"/>
  <c r="BT19" i="16"/>
  <c r="AF19" i="17"/>
  <c r="Z13" i="16"/>
  <c r="U11" i="17"/>
  <c r="W20" i="21"/>
  <c r="R13" i="16"/>
  <c r="AR13" i="17"/>
  <c r="F12" i="17"/>
  <c r="AQ12" i="17" s="1"/>
  <c r="AI13" i="16"/>
  <c r="AI20" i="16" s="1"/>
  <c r="I19" i="17"/>
  <c r="L19" i="16"/>
  <c r="AZ19" i="20"/>
  <c r="AZ20" i="20" s="1"/>
  <c r="Y13" i="16"/>
  <c r="O19" i="11"/>
  <c r="AS21" i="20"/>
  <c r="H13" i="14"/>
  <c r="AD13" i="14"/>
  <c r="Z13" i="14"/>
  <c r="M13" i="14"/>
  <c r="Y13" i="14"/>
  <c r="AA13" i="14"/>
  <c r="W13" i="14"/>
  <c r="P13" i="14"/>
  <c r="Q13" i="14"/>
  <c r="X13" i="14"/>
  <c r="AC13" i="14"/>
  <c r="AB13" i="14"/>
  <c r="U19" i="11"/>
  <c r="AA19" i="14"/>
  <c r="W19" i="14"/>
  <c r="H19" i="14"/>
  <c r="Z19" i="14"/>
  <c r="X19" i="14"/>
  <c r="AD19" i="14"/>
  <c r="Q19" i="14"/>
  <c r="P19" i="14"/>
  <c r="Y19" i="14"/>
  <c r="AC19" i="14"/>
  <c r="AB19" i="14"/>
  <c r="M19" i="14"/>
  <c r="U22" i="11"/>
  <c r="U13" i="11"/>
  <c r="U20" i="11"/>
  <c r="V10" i="11"/>
  <c r="Z21" i="26"/>
  <c r="U21" i="27"/>
  <c r="AM21" i="26"/>
  <c r="K21" i="26"/>
  <c r="AJ21" i="26"/>
  <c r="BH21" i="26"/>
  <c r="AD21" i="26"/>
  <c r="AI21" i="26"/>
  <c r="AZ21" i="26"/>
  <c r="AP21" i="26"/>
  <c r="BF21" i="26"/>
  <c r="BN21" i="26"/>
  <c r="H21" i="26"/>
  <c r="T21" i="26"/>
  <c r="AC21" i="26"/>
  <c r="AR21" i="26"/>
  <c r="AQ21" i="26"/>
  <c r="S21" i="26"/>
  <c r="L21" i="26"/>
  <c r="AL21" i="26"/>
  <c r="BP21" i="26"/>
  <c r="I21" i="26"/>
  <c r="BO21" i="26"/>
  <c r="AY21" i="26"/>
  <c r="AN21" i="26"/>
  <c r="BC21" i="26"/>
  <c r="AB21" i="26"/>
  <c r="BM21" i="26"/>
  <c r="BE21" i="26"/>
  <c r="AF21" i="26"/>
  <c r="AK21" i="26"/>
  <c r="O21" i="26"/>
  <c r="BS21" i="26"/>
  <c r="J21" i="26"/>
  <c r="BI21" i="26"/>
  <c r="AE21" i="26"/>
  <c r="BR21" i="26"/>
  <c r="N21" i="26"/>
  <c r="AA21" i="26"/>
  <c r="E21" i="26"/>
  <c r="AT21" i="26"/>
  <c r="BB21" i="26"/>
  <c r="R21" i="26"/>
  <c r="BA21" i="26"/>
  <c r="Q21" i="26"/>
  <c r="V21" i="26"/>
  <c r="V21" i="27"/>
  <c r="P21" i="26"/>
  <c r="W21" i="26"/>
  <c r="F21" i="26"/>
  <c r="AW21" i="26"/>
  <c r="AG21" i="26"/>
  <c r="X21" i="26"/>
  <c r="AO21" i="26"/>
  <c r="U21" i="26"/>
  <c r="Y21" i="26"/>
  <c r="AH21" i="26"/>
  <c r="BK21" i="26"/>
  <c r="AV21" i="26"/>
  <c r="AX21" i="26"/>
  <c r="BD21" i="26"/>
  <c r="AU21" i="26"/>
  <c r="AS21" i="26"/>
  <c r="BG21" i="26"/>
  <c r="BQ21" i="26"/>
  <c r="M21" i="26"/>
  <c r="U18" i="11"/>
  <c r="I21" i="27"/>
  <c r="O10" i="11"/>
  <c r="AO21" i="27"/>
  <c r="K12" i="12" l="1"/>
  <c r="BM20" i="26"/>
  <c r="BL21" i="26"/>
  <c r="J11" i="12"/>
  <c r="J9" i="12"/>
  <c r="BE19" i="13"/>
  <c r="BF19" i="13"/>
  <c r="J12" i="12"/>
  <c r="S16" i="16"/>
  <c r="AP16" i="27"/>
  <c r="BU16" i="17"/>
  <c r="Q16" i="17"/>
  <c r="BV16" i="26"/>
  <c r="BH16" i="26"/>
  <c r="T16" i="26"/>
  <c r="BM16" i="11"/>
  <c r="BK16" i="11"/>
  <c r="BI16" i="11"/>
  <c r="BG16" i="11"/>
  <c r="V16" i="11"/>
  <c r="AP16" i="20"/>
  <c r="BV16" i="16"/>
  <c r="BH16" i="16"/>
  <c r="T16" i="16"/>
  <c r="BW16" i="27"/>
  <c r="P16" i="17"/>
  <c r="S16" i="26"/>
  <c r="BL16" i="11"/>
  <c r="BJ16" i="11"/>
  <c r="BH16" i="11"/>
  <c r="BF16" i="11"/>
  <c r="L16" i="2"/>
  <c r="R16" i="14"/>
  <c r="AA16" i="26"/>
  <c r="X16" i="17"/>
  <c r="V16" i="20"/>
  <c r="S16" i="14"/>
  <c r="V16" i="14" s="1"/>
  <c r="U16" i="17"/>
  <c r="V16" i="16"/>
  <c r="T16" i="11"/>
  <c r="V16" i="26"/>
  <c r="S16" i="17"/>
  <c r="X16" i="16"/>
  <c r="AZ16" i="11"/>
  <c r="X16" i="26"/>
  <c r="V16" i="27"/>
  <c r="AA16" i="16"/>
  <c r="AO16" i="17"/>
  <c r="AM16" i="11"/>
  <c r="S18" i="26"/>
  <c r="BV17" i="26"/>
  <c r="BH17" i="26"/>
  <c r="S15" i="26"/>
  <c r="BV12" i="26"/>
  <c r="BH12" i="26"/>
  <c r="BV10" i="26"/>
  <c r="BH10" i="26"/>
  <c r="BV18" i="26"/>
  <c r="BH18" i="26"/>
  <c r="T18" i="26"/>
  <c r="BV15" i="26"/>
  <c r="BH15" i="26"/>
  <c r="T15" i="26"/>
  <c r="BV11" i="26"/>
  <c r="BH11" i="26"/>
  <c r="BV9" i="26"/>
  <c r="BH9" i="26"/>
  <c r="X10" i="26"/>
  <c r="X12" i="26"/>
  <c r="X15" i="26"/>
  <c r="X19" i="26" s="1"/>
  <c r="AA17" i="26"/>
  <c r="X9" i="26"/>
  <c r="V10" i="26"/>
  <c r="V11" i="26"/>
  <c r="V12" i="26"/>
  <c r="X17" i="26"/>
  <c r="AA18" i="26"/>
  <c r="V15" i="26"/>
  <c r="V9" i="26"/>
  <c r="X11" i="26"/>
  <c r="AA12" i="26"/>
  <c r="V17" i="26"/>
  <c r="X18" i="26"/>
  <c r="AA9" i="26"/>
  <c r="AA10" i="26"/>
  <c r="AA11" i="26"/>
  <c r="AA15" i="26"/>
  <c r="V18" i="26"/>
  <c r="AA19" i="26"/>
  <c r="AA13" i="26"/>
  <c r="BH13" i="26"/>
  <c r="AS20" i="21"/>
  <c r="AO22" i="21"/>
  <c r="AW20" i="21"/>
  <c r="J22" i="17"/>
  <c r="I15" i="12"/>
  <c r="C19" i="6"/>
  <c r="AU22" i="21"/>
  <c r="BF13" i="8"/>
  <c r="BE13" i="8"/>
  <c r="D20" i="5"/>
  <c r="I11" i="12"/>
  <c r="B20" i="7"/>
  <c r="T19" i="11"/>
  <c r="AP13" i="11"/>
  <c r="AO20" i="20"/>
  <c r="AZ20" i="13"/>
  <c r="AJ22" i="11"/>
  <c r="R20" i="11"/>
  <c r="AN22" i="17"/>
  <c r="O13" i="11"/>
  <c r="O20" i="11"/>
  <c r="M20" i="2"/>
  <c r="F13" i="2"/>
  <c r="AS21" i="27"/>
  <c r="AO20" i="27"/>
  <c r="AU20" i="21"/>
  <c r="AT20" i="20"/>
  <c r="AO22" i="27"/>
  <c r="E20" i="17"/>
  <c r="AT21" i="27"/>
  <c r="BR21" i="16"/>
  <c r="AW21" i="11"/>
  <c r="H21" i="17"/>
  <c r="BP21" i="16"/>
  <c r="AU21" i="17"/>
  <c r="AV21" i="21"/>
  <c r="AX21" i="21"/>
  <c r="BV19" i="26" l="1"/>
  <c r="V19" i="26"/>
  <c r="X20" i="26"/>
  <c r="X13" i="26"/>
  <c r="BV13" i="26"/>
  <c r="BV20" i="26" s="1"/>
  <c r="BV22" i="26"/>
  <c r="Q16" i="11"/>
  <c r="P16" i="11"/>
  <c r="T19" i="26"/>
  <c r="T20" i="26" s="1"/>
  <c r="S19" i="26"/>
  <c r="S20" i="26" s="1"/>
  <c r="BJ20" i="26"/>
  <c r="D20" i="12"/>
  <c r="BI20" i="26"/>
  <c r="BH20" i="26"/>
  <c r="K10" i="12"/>
  <c r="AC20" i="17"/>
  <c r="AG22" i="11"/>
  <c r="AH20" i="11"/>
  <c r="CL17" i="20"/>
  <c r="CO16" i="20"/>
  <c r="DR16" i="20"/>
  <c r="ED16" i="20"/>
  <c r="EG16" i="20"/>
  <c r="DV16" i="20"/>
  <c r="EK16" i="20"/>
  <c r="DQ16" i="20"/>
  <c r="DU16" i="20"/>
  <c r="BZ16" i="20"/>
  <c r="CH16" i="20"/>
  <c r="CP16" i="20"/>
  <c r="CF16" i="20"/>
  <c r="CL16" i="20"/>
  <c r="EC16" i="20"/>
  <c r="BY16" i="20"/>
  <c r="CI16" i="20"/>
  <c r="EF16" i="20"/>
  <c r="CK16" i="20"/>
  <c r="CE16" i="20"/>
  <c r="EJ16" i="20"/>
  <c r="AO22" i="20"/>
  <c r="AN22" i="21"/>
  <c r="BG20" i="19"/>
  <c r="AY22" i="21"/>
  <c r="AQ20" i="27"/>
  <c r="K20" i="17"/>
  <c r="AJ22" i="17"/>
  <c r="BH22" i="26"/>
  <c r="H22" i="12"/>
  <c r="AE20" i="11"/>
  <c r="AI22" i="11"/>
  <c r="X20" i="11"/>
  <c r="AG20" i="11"/>
  <c r="AF20" i="11"/>
  <c r="J20" i="11"/>
  <c r="I22" i="11"/>
  <c r="BI19" i="16"/>
  <c r="BB20" i="13"/>
  <c r="BG13" i="13"/>
  <c r="BD13" i="13"/>
  <c r="BE13" i="13"/>
  <c r="BA20" i="13"/>
  <c r="BC20" i="13"/>
  <c r="B20" i="5"/>
  <c r="F20" i="7"/>
  <c r="Y13" i="11"/>
  <c r="AY20" i="8"/>
  <c r="CN20" i="8"/>
  <c r="AA22" i="26"/>
  <c r="AI20" i="11"/>
  <c r="AB20" i="11"/>
  <c r="J17" i="12"/>
  <c r="BI19" i="26"/>
  <c r="Z20" i="11"/>
  <c r="BG20" i="26"/>
  <c r="BE22" i="21"/>
  <c r="N19" i="11"/>
  <c r="AY20" i="21"/>
  <c r="B19" i="6"/>
  <c r="N20" i="2"/>
  <c r="AK20" i="11"/>
  <c r="AL20" i="21"/>
  <c r="AG22" i="17"/>
  <c r="H20" i="11"/>
  <c r="L20" i="11"/>
  <c r="AL19" i="11"/>
  <c r="I20" i="11"/>
  <c r="BG22" i="26"/>
  <c r="M20" i="11"/>
  <c r="K20" i="2"/>
  <c r="CP18" i="20"/>
  <c r="CP11" i="20"/>
  <c r="CP12" i="20"/>
  <c r="CP17" i="20"/>
  <c r="CO18" i="20"/>
  <c r="AB20" i="20"/>
  <c r="CP10" i="20"/>
  <c r="CL18" i="20"/>
  <c r="CL9" i="20"/>
  <c r="CK15" i="20"/>
  <c r="CL10" i="20"/>
  <c r="CL11" i="20"/>
  <c r="CL12" i="20"/>
  <c r="CI12" i="20"/>
  <c r="CI15" i="20"/>
  <c r="CH17" i="20"/>
  <c r="CH15" i="20"/>
  <c r="CH9" i="20"/>
  <c r="CI17" i="20"/>
  <c r="CH10" i="20"/>
  <c r="CH18" i="20"/>
  <c r="CK9" i="20"/>
  <c r="CK17" i="20"/>
  <c r="CO15" i="20"/>
  <c r="CI10" i="20"/>
  <c r="CI18" i="20"/>
  <c r="CK10" i="20"/>
  <c r="CK18" i="20"/>
  <c r="CO11" i="20"/>
  <c r="CP15" i="20"/>
  <c r="CI9" i="20"/>
  <c r="CK11" i="20"/>
  <c r="CH11" i="20"/>
  <c r="CK12" i="20"/>
  <c r="CO17" i="20"/>
  <c r="CP9" i="20"/>
  <c r="CO9" i="20"/>
  <c r="CI11" i="20"/>
  <c r="CO12" i="20"/>
  <c r="CH12" i="20"/>
  <c r="CL15" i="20"/>
  <c r="CO10" i="20"/>
  <c r="G20" i="20"/>
  <c r="AX22" i="20"/>
  <c r="AN22" i="20"/>
  <c r="AK20" i="20"/>
  <c r="G22" i="20"/>
  <c r="F19" i="20"/>
  <c r="F22" i="20" s="1"/>
  <c r="AQ13" i="27"/>
  <c r="AQ22" i="27" s="1"/>
  <c r="BI13" i="26"/>
  <c r="I9" i="12"/>
  <c r="AA9" i="16"/>
  <c r="AP13" i="27"/>
  <c r="AP18" i="27"/>
  <c r="V18" i="27"/>
  <c r="V17" i="27"/>
  <c r="BW12" i="27"/>
  <c r="BW10" i="27"/>
  <c r="BW17" i="27"/>
  <c r="AP20" i="27"/>
  <c r="Q18" i="27"/>
  <c r="BW11" i="27"/>
  <c r="R18" i="27"/>
  <c r="BW15" i="27"/>
  <c r="AP15" i="27"/>
  <c r="AP17" i="27"/>
  <c r="BW18" i="27"/>
  <c r="X17" i="27"/>
  <c r="AP19" i="27"/>
  <c r="X18" i="27"/>
  <c r="BW9" i="27"/>
  <c r="T18" i="27"/>
  <c r="V15" i="27"/>
  <c r="T17" i="27"/>
  <c r="X13" i="27"/>
  <c r="X19" i="27"/>
  <c r="BP22" i="16"/>
  <c r="AP20" i="16"/>
  <c r="AP15" i="20"/>
  <c r="V13" i="26"/>
  <c r="V20" i="26" s="1"/>
  <c r="AJ20" i="16"/>
  <c r="E22" i="12"/>
  <c r="D22" i="12"/>
  <c r="BF9" i="11"/>
  <c r="AA10" i="21"/>
  <c r="AM10" i="11"/>
  <c r="T11" i="11"/>
  <c r="V17" i="11"/>
  <c r="BM10" i="11"/>
  <c r="AO19" i="17"/>
  <c r="BI11" i="11"/>
  <c r="T17" i="20"/>
  <c r="R18" i="14"/>
  <c r="R19" i="14" s="1"/>
  <c r="AM12" i="11"/>
  <c r="V9" i="16"/>
  <c r="V12" i="21"/>
  <c r="BJ18" i="11"/>
  <c r="V15" i="11"/>
  <c r="BK12" i="11"/>
  <c r="AZ10" i="11"/>
  <c r="AM11" i="11"/>
  <c r="BH15" i="11"/>
  <c r="BI18" i="11"/>
  <c r="U17" i="17"/>
  <c r="U12" i="21"/>
  <c r="BM11" i="11"/>
  <c r="AM19" i="11"/>
  <c r="AQ19" i="21"/>
  <c r="R15" i="14"/>
  <c r="X13" i="16"/>
  <c r="AP13" i="21"/>
  <c r="X13" i="20"/>
  <c r="S10" i="17"/>
  <c r="R12" i="14"/>
  <c r="R13" i="14" s="1"/>
  <c r="BH10" i="16"/>
  <c r="BJ9" i="11"/>
  <c r="AA11" i="16"/>
  <c r="BH15" i="16"/>
  <c r="AO9" i="17"/>
  <c r="AP12" i="21"/>
  <c r="T10" i="11"/>
  <c r="BG18" i="11"/>
  <c r="G21" i="11"/>
  <c r="AM13" i="11"/>
  <c r="V12" i="16"/>
  <c r="AP17" i="20"/>
  <c r="BK9" i="11"/>
  <c r="BG17" i="11"/>
  <c r="BF17" i="11"/>
  <c r="V18" i="16"/>
  <c r="V12" i="11"/>
  <c r="V15" i="16"/>
  <c r="S18" i="17"/>
  <c r="V15" i="20"/>
  <c r="AA10" i="16"/>
  <c r="S13" i="16"/>
  <c r="BK17" i="11"/>
  <c r="S10" i="14"/>
  <c r="V10" i="14" s="1"/>
  <c r="T17" i="11"/>
  <c r="AO15" i="17"/>
  <c r="G22" i="11"/>
  <c r="U18" i="17"/>
  <c r="V17" i="20"/>
  <c r="X12" i="16"/>
  <c r="BV10" i="16"/>
  <c r="BF12" i="11"/>
  <c r="BM12" i="11"/>
  <c r="R10" i="14"/>
  <c r="S15" i="16"/>
  <c r="S19" i="16" s="1"/>
  <c r="BG11" i="11"/>
  <c r="AA12" i="21"/>
  <c r="S17" i="14"/>
  <c r="V17" i="14" s="1"/>
  <c r="V20" i="11"/>
  <c r="S12" i="17"/>
  <c r="V13" i="11"/>
  <c r="V18" i="11"/>
  <c r="R9" i="14"/>
  <c r="AP19" i="21"/>
  <c r="AA15" i="16"/>
  <c r="BI10" i="11"/>
  <c r="BH13" i="16"/>
  <c r="AO10" i="17"/>
  <c r="BM18" i="11"/>
  <c r="X11" i="16"/>
  <c r="V17" i="16"/>
  <c r="AQ20" i="21"/>
  <c r="X17" i="17"/>
  <c r="L11" i="2"/>
  <c r="AZ18" i="11"/>
  <c r="L17" i="2"/>
  <c r="BF11" i="11"/>
  <c r="BV9" i="16"/>
  <c r="BH12" i="11"/>
  <c r="BI12" i="11"/>
  <c r="AP18" i="20"/>
  <c r="AA12" i="16"/>
  <c r="BI17" i="11"/>
  <c r="AA17" i="16"/>
  <c r="AA18" i="16"/>
  <c r="T13" i="11"/>
  <c r="X10" i="17"/>
  <c r="V11" i="16"/>
  <c r="V10" i="16"/>
  <c r="AP13" i="20"/>
  <c r="BL11" i="11"/>
  <c r="P15" i="17"/>
  <c r="T13" i="20"/>
  <c r="BL12" i="11"/>
  <c r="F19" i="17"/>
  <c r="J15" i="12"/>
  <c r="I12" i="12"/>
  <c r="Y19" i="11"/>
  <c r="AS17" i="20"/>
  <c r="AQ13" i="21"/>
  <c r="BE19" i="8"/>
  <c r="I19" i="7" s="1"/>
  <c r="BH10" i="11"/>
  <c r="BK18" i="11"/>
  <c r="AP10" i="21"/>
  <c r="X12" i="21"/>
  <c r="S9" i="17"/>
  <c r="C20" i="2"/>
  <c r="D20" i="2" s="1"/>
  <c r="Q18" i="17"/>
  <c r="T18" i="20"/>
  <c r="K9" i="7"/>
  <c r="K9" i="12"/>
  <c r="X13" i="17"/>
  <c r="AB22" i="21"/>
  <c r="BV17" i="16"/>
  <c r="BH9" i="11"/>
  <c r="T13" i="16"/>
  <c r="E19" i="6"/>
  <c r="BH9" i="16"/>
  <c r="Q18" i="20"/>
  <c r="AM9" i="11"/>
  <c r="BJ12" i="11"/>
  <c r="P18" i="17"/>
  <c r="BF10" i="11"/>
  <c r="S11" i="17"/>
  <c r="L10" i="2"/>
  <c r="BH11" i="16"/>
  <c r="T15" i="16"/>
  <c r="BU9" i="17"/>
  <c r="BL18" i="11"/>
  <c r="BK15" i="11"/>
  <c r="L9" i="2"/>
  <c r="BF18" i="11"/>
  <c r="AO12" i="17"/>
  <c r="AO17" i="17"/>
  <c r="BI9" i="11"/>
  <c r="BF15" i="11"/>
  <c r="BL17" i="11"/>
  <c r="U9" i="17"/>
  <c r="R18" i="20"/>
  <c r="BV11" i="16"/>
  <c r="AQ10" i="21"/>
  <c r="BJ11" i="11"/>
  <c r="BG9" i="11"/>
  <c r="BU10" i="17"/>
  <c r="BV15" i="16"/>
  <c r="U10" i="17"/>
  <c r="S11" i="14"/>
  <c r="V11" i="14" s="1"/>
  <c r="BL15" i="11"/>
  <c r="BH17" i="11"/>
  <c r="X10" i="21"/>
  <c r="BG15" i="11"/>
  <c r="AZ12" i="11"/>
  <c r="L12" i="2"/>
  <c r="BG10" i="11"/>
  <c r="S9" i="14"/>
  <c r="V9" i="14" s="1"/>
  <c r="BM15" i="11"/>
  <c r="BU15" i="17"/>
  <c r="BG12" i="11"/>
  <c r="T18" i="11"/>
  <c r="U10" i="21"/>
  <c r="AO18" i="17"/>
  <c r="X9" i="17"/>
  <c r="Y20" i="21"/>
  <c r="BU11" i="17"/>
  <c r="BV18" i="16"/>
  <c r="BJ17" i="11"/>
  <c r="BH18" i="11"/>
  <c r="AQ12" i="21"/>
  <c r="T9" i="11"/>
  <c r="Q10" i="21"/>
  <c r="Q13" i="21" s="1"/>
  <c r="Q20" i="21" s="1"/>
  <c r="R10" i="21"/>
  <c r="R13" i="21" s="1"/>
  <c r="R20" i="21" s="1"/>
  <c r="BU17" i="17"/>
  <c r="T15" i="11"/>
  <c r="BM9" i="11"/>
  <c r="AZ11" i="11"/>
  <c r="X18" i="20"/>
  <c r="BU12" i="17"/>
  <c r="Q15" i="17"/>
  <c r="X15" i="17"/>
  <c r="T12" i="11"/>
  <c r="AM17" i="11"/>
  <c r="V11" i="11"/>
  <c r="BU18" i="17"/>
  <c r="BK10" i="11"/>
  <c r="V9" i="11"/>
  <c r="AZ9" i="11"/>
  <c r="R11" i="14"/>
  <c r="BH11" i="11"/>
  <c r="S17" i="17"/>
  <c r="S15" i="17"/>
  <c r="L18" i="2"/>
  <c r="BL9" i="11"/>
  <c r="R13" i="17"/>
  <c r="BI15" i="11"/>
  <c r="AZ15" i="11"/>
  <c r="AZ19" i="11" s="1"/>
  <c r="S12" i="14"/>
  <c r="S18" i="14"/>
  <c r="L15" i="2"/>
  <c r="BJ15" i="11"/>
  <c r="AM15" i="11"/>
  <c r="T18" i="16"/>
  <c r="BL10" i="11"/>
  <c r="BH12" i="16"/>
  <c r="X18" i="17"/>
  <c r="AO19" i="11"/>
  <c r="G20" i="21"/>
  <c r="R17" i="14"/>
  <c r="BK11" i="11"/>
  <c r="K17" i="12"/>
  <c r="BJ10" i="11"/>
  <c r="AZ17" i="11"/>
  <c r="BH18" i="16"/>
  <c r="V10" i="21"/>
  <c r="X12" i="17"/>
  <c r="G22" i="21"/>
  <c r="H13" i="2"/>
  <c r="D20" i="14"/>
  <c r="AC13" i="11"/>
  <c r="F19" i="11"/>
  <c r="K15" i="7"/>
  <c r="K15" i="12"/>
  <c r="AQ20" i="16"/>
  <c r="AO13" i="17"/>
  <c r="B13" i="6"/>
  <c r="AA20" i="11"/>
  <c r="AL13" i="11"/>
  <c r="I20" i="2"/>
  <c r="G20" i="11"/>
  <c r="AO20" i="16"/>
  <c r="AN20" i="16"/>
  <c r="AK20" i="16"/>
  <c r="AL13" i="16"/>
  <c r="AL20" i="16" s="1"/>
  <c r="AG20" i="16"/>
  <c r="BD20" i="16"/>
  <c r="G20" i="16"/>
  <c r="O20" i="16"/>
  <c r="BK20" i="16"/>
  <c r="W20" i="11"/>
  <c r="E20" i="2"/>
  <c r="J13" i="2"/>
  <c r="C13" i="6"/>
  <c r="F20" i="14"/>
  <c r="BG22" i="16"/>
  <c r="AN19" i="11"/>
  <c r="U20" i="16"/>
  <c r="BF22" i="16"/>
  <c r="AC20" i="20"/>
  <c r="O18" i="11"/>
  <c r="V18" i="14" l="1"/>
  <c r="V19" i="14" s="1"/>
  <c r="S19" i="14"/>
  <c r="Q19" i="11"/>
  <c r="P19" i="17"/>
  <c r="P20" i="17" s="1"/>
  <c r="V12" i="14"/>
  <c r="V13" i="14" s="1"/>
  <c r="S13" i="14"/>
  <c r="DY16" i="20"/>
  <c r="EN16" i="20"/>
  <c r="CB16" i="20"/>
  <c r="EO16" i="20"/>
  <c r="DZ16" i="20"/>
  <c r="CC16" i="20"/>
  <c r="T19" i="27"/>
  <c r="BF20" i="13"/>
  <c r="BE20" i="13"/>
  <c r="BD20" i="13"/>
  <c r="CB9" i="20"/>
  <c r="CC10" i="20"/>
  <c r="CB10" i="20"/>
  <c r="CC17" i="20"/>
  <c r="CC18" i="20"/>
  <c r="CC15" i="20"/>
  <c r="CB12" i="20"/>
  <c r="CB17" i="20"/>
  <c r="CB11" i="20"/>
  <c r="CC9" i="20"/>
  <c r="CB18" i="20"/>
  <c r="CC11" i="20"/>
  <c r="CB15" i="20"/>
  <c r="CC12" i="20"/>
  <c r="AA20" i="26"/>
  <c r="BI22" i="26"/>
  <c r="DU10" i="20"/>
  <c r="DU12" i="20"/>
  <c r="DU9" i="20"/>
  <c r="DU17" i="20"/>
  <c r="DU15" i="20"/>
  <c r="DV12" i="20"/>
  <c r="DV10" i="20"/>
  <c r="DV17" i="20"/>
  <c r="DV15" i="20"/>
  <c r="DV18" i="20"/>
  <c r="DV11" i="20"/>
  <c r="DV9" i="20"/>
  <c r="DU18" i="20"/>
  <c r="DU11" i="20"/>
  <c r="BW22" i="27"/>
  <c r="X20" i="27"/>
  <c r="X22" i="27"/>
  <c r="Q19" i="27"/>
  <c r="Q20" i="27" s="1"/>
  <c r="V19" i="27"/>
  <c r="V20" i="27"/>
  <c r="T13" i="27"/>
  <c r="T20" i="27" s="1"/>
  <c r="R19" i="27"/>
  <c r="R20" i="27" s="1"/>
  <c r="AP22" i="27"/>
  <c r="S20" i="16"/>
  <c r="Q17" i="11"/>
  <c r="P17" i="11"/>
  <c r="P18" i="11"/>
  <c r="V19" i="20"/>
  <c r="V20" i="20"/>
  <c r="BI19" i="11"/>
  <c r="P9" i="11"/>
  <c r="BJ19" i="11"/>
  <c r="BH13" i="11"/>
  <c r="BV13" i="16"/>
  <c r="BU22" i="17"/>
  <c r="BK13" i="11"/>
  <c r="Q19" i="20"/>
  <c r="Q20" i="20" s="1"/>
  <c r="Q19" i="17"/>
  <c r="Q20" i="17" s="1"/>
  <c r="BK19" i="11"/>
  <c r="P15" i="11"/>
  <c r="Q15" i="11"/>
  <c r="BL19" i="11"/>
  <c r="BV19" i="16"/>
  <c r="U20" i="17"/>
  <c r="U13" i="17"/>
  <c r="X20" i="21"/>
  <c r="AZ13" i="11"/>
  <c r="AZ20" i="11"/>
  <c r="T19" i="16"/>
  <c r="T20" i="16" s="1"/>
  <c r="BF19" i="11"/>
  <c r="Q9" i="11"/>
  <c r="Q10" i="11"/>
  <c r="V13" i="21"/>
  <c r="V20" i="21" s="1"/>
  <c r="R19" i="20"/>
  <c r="R20" i="20" s="1"/>
  <c r="Q12" i="11"/>
  <c r="P12" i="11"/>
  <c r="BH19" i="11"/>
  <c r="AA19" i="16"/>
  <c r="Q20" i="16"/>
  <c r="AM20" i="16"/>
  <c r="AW20" i="16"/>
  <c r="D13" i="2"/>
  <c r="E13" i="6"/>
  <c r="AO13" i="11"/>
  <c r="F13" i="11"/>
  <c r="G13" i="12" s="1"/>
  <c r="G22" i="12" s="1"/>
  <c r="C20" i="5"/>
  <c r="AC20" i="16"/>
  <c r="Y20" i="17"/>
  <c r="F22" i="12"/>
  <c r="W22" i="11"/>
  <c r="D19" i="6"/>
  <c r="AF20" i="16"/>
  <c r="AC19" i="11"/>
  <c r="AC20" i="11" s="1"/>
  <c r="AB22" i="16"/>
  <c r="AQ19" i="11"/>
  <c r="AN20" i="17"/>
  <c r="E20" i="14"/>
  <c r="W20" i="16"/>
  <c r="H20" i="12"/>
  <c r="AE20" i="20"/>
  <c r="Y22" i="20"/>
  <c r="AW20" i="20"/>
  <c r="AM20" i="20"/>
  <c r="AK20" i="17"/>
  <c r="AE20" i="17"/>
  <c r="AP22" i="17"/>
  <c r="AA20" i="17"/>
  <c r="AH20" i="17"/>
  <c r="F13" i="16"/>
  <c r="BL13" i="16" s="1"/>
  <c r="N20" i="16"/>
  <c r="AX20" i="16"/>
  <c r="AZ20" i="16"/>
  <c r="BA22" i="16"/>
  <c r="BA20" i="16"/>
  <c r="BE20" i="16"/>
  <c r="BP20" i="16"/>
  <c r="AB20" i="16"/>
  <c r="AY20" i="16"/>
  <c r="AR20" i="16"/>
  <c r="F19" i="16"/>
  <c r="Y20" i="11"/>
  <c r="BI13" i="11"/>
  <c r="BI20" i="11" s="1"/>
  <c r="H22" i="11"/>
  <c r="AY20" i="11"/>
  <c r="AL22" i="11"/>
  <c r="G20" i="2"/>
  <c r="Y20" i="16"/>
  <c r="I19" i="12"/>
  <c r="BE22" i="16"/>
  <c r="I22" i="21"/>
  <c r="AP20" i="21"/>
  <c r="D20" i="7"/>
  <c r="AO20" i="17"/>
  <c r="F20" i="12"/>
  <c r="BH20" i="16"/>
  <c r="P20" i="16"/>
  <c r="AG20" i="17"/>
  <c r="AP22" i="21"/>
  <c r="S13" i="17"/>
  <c r="AV20" i="16"/>
  <c r="AQ22" i="21"/>
  <c r="AJ20" i="17"/>
  <c r="B20" i="2"/>
  <c r="F20" i="2" s="1"/>
  <c r="B20" i="3"/>
  <c r="AD20" i="11"/>
  <c r="AP19" i="11"/>
  <c r="G22" i="16"/>
  <c r="G13" i="3"/>
  <c r="F20" i="3"/>
  <c r="I17" i="12"/>
  <c r="I13" i="3"/>
  <c r="H20" i="3"/>
  <c r="K11" i="12"/>
  <c r="T20" i="17"/>
  <c r="AP22" i="20"/>
  <c r="AC20" i="21"/>
  <c r="F22" i="21"/>
  <c r="AJ20" i="21"/>
  <c r="AJ22" i="21"/>
  <c r="I22" i="20"/>
  <c r="BY9" i="20" s="1"/>
  <c r="AD20" i="20"/>
  <c r="BG13" i="11"/>
  <c r="E20" i="12"/>
  <c r="BG20" i="16"/>
  <c r="C20" i="7"/>
  <c r="BI20" i="16"/>
  <c r="AF20" i="17"/>
  <c r="AF22" i="17"/>
  <c r="AM22" i="17"/>
  <c r="AM20" i="17"/>
  <c r="T19" i="20"/>
  <c r="T20" i="20" s="1"/>
  <c r="BF13" i="11"/>
  <c r="AO22" i="17"/>
  <c r="BL13" i="11"/>
  <c r="J10" i="12"/>
  <c r="AF22" i="11"/>
  <c r="BH20" i="11"/>
  <c r="AU20" i="16"/>
  <c r="AU22" i="16"/>
  <c r="AL20" i="17"/>
  <c r="AL22" i="17"/>
  <c r="AT22" i="16"/>
  <c r="AT20" i="16"/>
  <c r="P10" i="11"/>
  <c r="BM13" i="11"/>
  <c r="AR20" i="11"/>
  <c r="AV20" i="21"/>
  <c r="AR20" i="17"/>
  <c r="BF20" i="16"/>
  <c r="G21" i="16"/>
  <c r="BG19" i="8"/>
  <c r="BB20" i="8"/>
  <c r="AK22" i="11"/>
  <c r="N13" i="11"/>
  <c r="AP20" i="17"/>
  <c r="AR20" i="21"/>
  <c r="BJ20" i="16"/>
  <c r="E13" i="3"/>
  <c r="BI13" i="16"/>
  <c r="BI22" i="16" s="1"/>
  <c r="AN13" i="11"/>
  <c r="AN22" i="11" s="1"/>
  <c r="D13" i="6"/>
  <c r="J13" i="12" s="1"/>
  <c r="J13" i="7"/>
  <c r="AQ13" i="20"/>
  <c r="AQ22" i="20" s="1"/>
  <c r="D20" i="3"/>
  <c r="G20" i="12"/>
  <c r="E20" i="7"/>
  <c r="I13" i="7"/>
  <c r="I13" i="12"/>
  <c r="U13" i="21"/>
  <c r="U20" i="21" s="1"/>
  <c r="I22" i="17"/>
  <c r="I20" i="17"/>
  <c r="G21" i="17"/>
  <c r="G20" i="17"/>
  <c r="G22" i="17"/>
  <c r="AQ19" i="17"/>
  <c r="R20" i="17"/>
  <c r="AZ20" i="8"/>
  <c r="BD13" i="8"/>
  <c r="H13" i="7" s="1"/>
  <c r="BG13" i="8"/>
  <c r="BA20" i="8"/>
  <c r="BD19" i="8"/>
  <c r="H19" i="7" s="1"/>
  <c r="V19" i="16"/>
  <c r="Q11" i="11"/>
  <c r="P11" i="11"/>
  <c r="BM19" i="11"/>
  <c r="BH22" i="16"/>
  <c r="AS19" i="20"/>
  <c r="AJ20" i="11"/>
  <c r="AX20" i="20"/>
  <c r="BJ13" i="11"/>
  <c r="AS22" i="16"/>
  <c r="AS20" i="16"/>
  <c r="BD20" i="19"/>
  <c r="BF20" i="19"/>
  <c r="V13" i="16"/>
  <c r="BU22" i="16"/>
  <c r="BU20" i="16"/>
  <c r="F13" i="17"/>
  <c r="F22" i="17" s="1"/>
  <c r="AQ9" i="17"/>
  <c r="AQ13" i="17" s="1"/>
  <c r="I20" i="16"/>
  <c r="I22" i="16"/>
  <c r="BC22" i="16"/>
  <c r="BC20" i="16"/>
  <c r="AY20" i="13"/>
  <c r="BG20" i="13" s="1"/>
  <c r="BG19" i="13"/>
  <c r="N20" i="17"/>
  <c r="AA13" i="21"/>
  <c r="F20" i="20"/>
  <c r="L20" i="20"/>
  <c r="J20" i="17"/>
  <c r="BF19" i="8"/>
  <c r="J19" i="7" s="1"/>
  <c r="C13" i="14"/>
  <c r="BE20" i="19"/>
  <c r="AE22" i="11"/>
  <c r="Q18" i="11"/>
  <c r="BG19" i="11"/>
  <c r="R20" i="16"/>
  <c r="BM20" i="16" s="1"/>
  <c r="J20" i="16"/>
  <c r="J22" i="16"/>
  <c r="AA13" i="16"/>
  <c r="AT13" i="21"/>
  <c r="AT22" i="21" s="1"/>
  <c r="AR22" i="21" s="1"/>
  <c r="S19" i="17"/>
  <c r="BC20" i="8"/>
  <c r="K9" i="14"/>
  <c r="C19" i="14"/>
  <c r="Y20" i="14"/>
  <c r="AB20" i="14"/>
  <c r="R20" i="14"/>
  <c r="AC20" i="14"/>
  <c r="X20" i="14"/>
  <c r="M20" i="14"/>
  <c r="Z20" i="14"/>
  <c r="W20" i="14"/>
  <c r="AD20" i="14"/>
  <c r="V19" i="11"/>
  <c r="AA20" i="14"/>
  <c r="H20" i="14"/>
  <c r="AL21" i="16"/>
  <c r="BB21" i="16"/>
  <c r="AK21" i="21"/>
  <c r="K21" i="17"/>
  <c r="Z21" i="21"/>
  <c r="BG21" i="16"/>
  <c r="R21" i="11"/>
  <c r="U21" i="20"/>
  <c r="E21" i="11"/>
  <c r="AJ21" i="21"/>
  <c r="AH21" i="21"/>
  <c r="AH21" i="17"/>
  <c r="AA21" i="11"/>
  <c r="AK21" i="11"/>
  <c r="AI21" i="11"/>
  <c r="AB21" i="16"/>
  <c r="AU21" i="16"/>
  <c r="Q21" i="21"/>
  <c r="AT21" i="16"/>
  <c r="Z21" i="17"/>
  <c r="AW21" i="21"/>
  <c r="N21" i="17"/>
  <c r="AY21" i="11"/>
  <c r="G21" i="12"/>
  <c r="AW21" i="16"/>
  <c r="H21" i="11"/>
  <c r="BM21" i="16"/>
  <c r="AL21" i="11"/>
  <c r="I21" i="21"/>
  <c r="Y21" i="17"/>
  <c r="AF21" i="17"/>
  <c r="K21" i="16"/>
  <c r="S21" i="17"/>
  <c r="AE21" i="16"/>
  <c r="AW21" i="17"/>
  <c r="H21" i="21"/>
  <c r="AC21" i="11"/>
  <c r="AV21" i="17"/>
  <c r="BE21" i="21"/>
  <c r="AR21" i="17"/>
  <c r="AJ21" i="17"/>
  <c r="F21" i="16"/>
  <c r="AN21" i="21"/>
  <c r="BC21" i="16"/>
  <c r="J21" i="16"/>
  <c r="L21" i="21"/>
  <c r="AO21" i="16"/>
  <c r="AT21" i="17"/>
  <c r="W21" i="16"/>
  <c r="S21" i="21"/>
  <c r="AM21" i="16"/>
  <c r="AD21" i="11"/>
  <c r="AN21" i="16"/>
  <c r="AS21" i="21"/>
  <c r="BJ21" i="16"/>
  <c r="AC21" i="16"/>
  <c r="M21" i="21"/>
  <c r="AC21" i="17"/>
  <c r="AK21" i="16"/>
  <c r="R21" i="16"/>
  <c r="E21" i="12"/>
  <c r="N21" i="11"/>
  <c r="AA21" i="17"/>
  <c r="F21" i="12"/>
  <c r="F21" i="17"/>
  <c r="AO21" i="17"/>
  <c r="AH21" i="11"/>
  <c r="AA21" i="21"/>
  <c r="O21" i="17"/>
  <c r="AH21" i="16"/>
  <c r="W21" i="11"/>
  <c r="BD21" i="16"/>
  <c r="R21" i="17"/>
  <c r="J21" i="17"/>
  <c r="U21" i="17"/>
  <c r="AL21" i="17"/>
  <c r="M21" i="17"/>
  <c r="J21" i="21"/>
  <c r="P21" i="21"/>
  <c r="AA21" i="16"/>
  <c r="AI21" i="16"/>
  <c r="AG21" i="21"/>
  <c r="AM21" i="11"/>
  <c r="M21" i="11"/>
  <c r="V21" i="16"/>
  <c r="AD21" i="16"/>
  <c r="I21" i="16"/>
  <c r="AD21" i="17"/>
  <c r="Q21" i="16"/>
  <c r="AP21" i="21"/>
  <c r="J21" i="12"/>
  <c r="AR21" i="20"/>
  <c r="N21" i="21"/>
  <c r="BD21" i="21"/>
  <c r="BH21" i="16"/>
  <c r="X21" i="17"/>
  <c r="Y21" i="21"/>
  <c r="BN21" i="16"/>
  <c r="AQ21" i="16"/>
  <c r="AS21" i="16"/>
  <c r="S21" i="16"/>
  <c r="O12" i="11"/>
  <c r="AT21" i="11"/>
  <c r="BF21" i="16"/>
  <c r="AG21" i="17"/>
  <c r="BE21" i="16"/>
  <c r="Z21" i="11"/>
  <c r="AF21" i="16"/>
  <c r="I21" i="11"/>
  <c r="AG21" i="16"/>
  <c r="U21" i="21"/>
  <c r="AC21" i="21"/>
  <c r="BQ21" i="16"/>
  <c r="Q21" i="11"/>
  <c r="E21" i="17"/>
  <c r="L21" i="17"/>
  <c r="AO21" i="11"/>
  <c r="BC21" i="21"/>
  <c r="AB21" i="17"/>
  <c r="L21" i="11"/>
  <c r="U21" i="11"/>
  <c r="R21" i="21"/>
  <c r="X21" i="21"/>
  <c r="F21" i="21"/>
  <c r="BA21" i="16"/>
  <c r="AZ21" i="16"/>
  <c r="AI21" i="21"/>
  <c r="V21" i="17"/>
  <c r="AU21" i="11"/>
  <c r="AV21" i="16"/>
  <c r="O21" i="21"/>
  <c r="AB21" i="21"/>
  <c r="AE21" i="17"/>
  <c r="AE21" i="21"/>
  <c r="V21" i="20"/>
  <c r="P21" i="17"/>
  <c r="AI21" i="17"/>
  <c r="W21" i="17"/>
  <c r="Z21" i="16"/>
  <c r="H21" i="12"/>
  <c r="T21" i="16"/>
  <c r="AG21" i="11"/>
  <c r="O21" i="11"/>
  <c r="V21" i="21"/>
  <c r="E21" i="21"/>
  <c r="AJ21" i="16"/>
  <c r="AN21" i="17"/>
  <c r="AR21" i="21"/>
  <c r="AP21" i="17"/>
  <c r="P21" i="11"/>
  <c r="AT21" i="20"/>
  <c r="F21" i="11"/>
  <c r="AF21" i="11"/>
  <c r="AR21" i="16"/>
  <c r="Y21" i="16"/>
  <c r="AZ21" i="11"/>
  <c r="Y21" i="11"/>
  <c r="AV21" i="11"/>
  <c r="AO21" i="21"/>
  <c r="I21" i="12"/>
  <c r="BO21" i="16"/>
  <c r="K21" i="12"/>
  <c r="AF21" i="21"/>
  <c r="H21" i="16"/>
  <c r="N21" i="16"/>
  <c r="K21" i="11"/>
  <c r="AS21" i="17"/>
  <c r="S21" i="11"/>
  <c r="BS21" i="16"/>
  <c r="K21" i="21"/>
  <c r="AB21" i="11"/>
  <c r="AE21" i="11"/>
  <c r="V21" i="11"/>
  <c r="AM21" i="17"/>
  <c r="I21" i="17"/>
  <c r="T21" i="17"/>
  <c r="AD21" i="21"/>
  <c r="AL21" i="21"/>
  <c r="E21" i="16"/>
  <c r="AP21" i="16"/>
  <c r="AU21" i="21"/>
  <c r="AK21" i="17"/>
  <c r="AS21" i="11"/>
  <c r="AX21" i="16"/>
  <c r="T21" i="11"/>
  <c r="M21" i="16"/>
  <c r="X21" i="16"/>
  <c r="AY21" i="21"/>
  <c r="U21" i="16"/>
  <c r="AY21" i="16"/>
  <c r="BI21" i="16"/>
  <c r="O21" i="16"/>
  <c r="AR21" i="11"/>
  <c r="BK21" i="16"/>
  <c r="L21" i="16"/>
  <c r="P21" i="16"/>
  <c r="AM21" i="21"/>
  <c r="J21" i="11"/>
  <c r="AN21" i="11"/>
  <c r="X21" i="11"/>
  <c r="AJ21" i="11"/>
  <c r="V20" i="16" l="1"/>
  <c r="BJ20" i="11"/>
  <c r="BL20" i="11"/>
  <c r="BK20" i="11"/>
  <c r="BM20" i="11"/>
  <c r="BF20" i="11"/>
  <c r="BG20" i="11"/>
  <c r="V20" i="14"/>
  <c r="Q13" i="11"/>
  <c r="K20" i="11"/>
  <c r="BG20" i="8"/>
  <c r="BL21" i="16"/>
  <c r="CL16" i="16"/>
  <c r="CK16" i="16"/>
  <c r="CL18" i="16"/>
  <c r="CK15" i="16"/>
  <c r="CL12" i="16"/>
  <c r="CL10" i="16"/>
  <c r="CK10" i="16"/>
  <c r="CK11" i="16"/>
  <c r="CK9" i="16"/>
  <c r="CK18" i="16"/>
  <c r="CL17" i="16"/>
  <c r="CK17" i="16"/>
  <c r="CL15" i="16"/>
  <c r="CK12" i="16"/>
  <c r="CL11" i="16"/>
  <c r="CL9" i="16"/>
  <c r="CZ16" i="16"/>
  <c r="CY16" i="16"/>
  <c r="CZ18" i="16"/>
  <c r="CZ17" i="16"/>
  <c r="CZ15" i="16"/>
  <c r="CZ11" i="16"/>
  <c r="CZ9" i="16"/>
  <c r="CY15" i="16"/>
  <c r="CY17" i="16"/>
  <c r="CZ10" i="16"/>
  <c r="CY18" i="16"/>
  <c r="CY9" i="16"/>
  <c r="CZ12" i="16"/>
  <c r="CY12" i="16"/>
  <c r="CY11" i="16"/>
  <c r="CY10" i="16"/>
  <c r="AQ21" i="17"/>
  <c r="CV16" i="16"/>
  <c r="CU16" i="16"/>
  <c r="CV17" i="16"/>
  <c r="CU15" i="16"/>
  <c r="CV18" i="16"/>
  <c r="CV15" i="16"/>
  <c r="CU18" i="16"/>
  <c r="CU17" i="16"/>
  <c r="CV12" i="16"/>
  <c r="CU11" i="16"/>
  <c r="CV11" i="16"/>
  <c r="CU9" i="16"/>
  <c r="CU12" i="16"/>
  <c r="CV10" i="16"/>
  <c r="CU10" i="16"/>
  <c r="CV9" i="16"/>
  <c r="CC16" i="16"/>
  <c r="DC16" i="16"/>
  <c r="DD16" i="16"/>
  <c r="DD18" i="16"/>
  <c r="DC18" i="16"/>
  <c r="DC17" i="16"/>
  <c r="DC15" i="16"/>
  <c r="DC12" i="16"/>
  <c r="DC11" i="16"/>
  <c r="DD17" i="16"/>
  <c r="DD15" i="16"/>
  <c r="DD12" i="16"/>
  <c r="DD11" i="16"/>
  <c r="DD10" i="16"/>
  <c r="DC10" i="16"/>
  <c r="DC9" i="16"/>
  <c r="DD9" i="16"/>
  <c r="AT21" i="21"/>
  <c r="CN16" i="16"/>
  <c r="CO16" i="16"/>
  <c r="CN17" i="16"/>
  <c r="CN18" i="16"/>
  <c r="CO15" i="16"/>
  <c r="CO12" i="16"/>
  <c r="CN12" i="16"/>
  <c r="CN11" i="16"/>
  <c r="CO10" i="16"/>
  <c r="CN9" i="16"/>
  <c r="CN15" i="16"/>
  <c r="CO18" i="16"/>
  <c r="CO17" i="16"/>
  <c r="CO11" i="16"/>
  <c r="CN10" i="16"/>
  <c r="CO9" i="16"/>
  <c r="AQ21" i="11"/>
  <c r="AP21" i="11"/>
  <c r="EN16" i="16"/>
  <c r="ER16" i="16"/>
  <c r="DG16" i="16"/>
  <c r="DH16" i="16"/>
  <c r="CI16" i="16"/>
  <c r="CH16" i="16"/>
  <c r="CB16" i="16"/>
  <c r="EQ16" i="16"/>
  <c r="BY16" i="16"/>
  <c r="BZ16" i="16"/>
  <c r="CE16" i="16"/>
  <c r="CF16" i="16"/>
  <c r="EJ16" i="16"/>
  <c r="EI16" i="16"/>
  <c r="EY16" i="16"/>
  <c r="EX16" i="16"/>
  <c r="CQ16" i="16"/>
  <c r="CR16" i="16"/>
  <c r="EM16" i="16"/>
  <c r="H20" i="2"/>
  <c r="BY9" i="16"/>
  <c r="EK12" i="20"/>
  <c r="EJ17" i="20"/>
  <c r="EJ10" i="20"/>
  <c r="EK11" i="20"/>
  <c r="EJ9" i="20"/>
  <c r="EJ15" i="20"/>
  <c r="EK18" i="20"/>
  <c r="EK17" i="20"/>
  <c r="EK10" i="20"/>
  <c r="EK9" i="20"/>
  <c r="EJ12" i="20"/>
  <c r="EJ18" i="20"/>
  <c r="EK15" i="20"/>
  <c r="EJ11" i="20"/>
  <c r="DZ11" i="20"/>
  <c r="DY10" i="20"/>
  <c r="DY11" i="20"/>
  <c r="DZ15" i="20"/>
  <c r="DZ9" i="20"/>
  <c r="DY12" i="20"/>
  <c r="DY9" i="20"/>
  <c r="DZ10" i="20"/>
  <c r="DZ12" i="20"/>
  <c r="DY18" i="20"/>
  <c r="DZ17" i="20"/>
  <c r="DY15" i="20"/>
  <c r="DY17" i="20"/>
  <c r="DZ18" i="20"/>
  <c r="DQ12" i="20"/>
  <c r="DR9" i="20"/>
  <c r="DQ15" i="20"/>
  <c r="DR18" i="20"/>
  <c r="DR15" i="20"/>
  <c r="DQ11" i="20"/>
  <c r="DR11" i="20"/>
  <c r="DR10" i="20"/>
  <c r="DR17" i="20"/>
  <c r="DQ10" i="20"/>
  <c r="DQ17" i="20"/>
  <c r="DQ9" i="20"/>
  <c r="DQ18" i="20"/>
  <c r="DR12" i="20"/>
  <c r="EC9" i="20"/>
  <c r="CE15" i="20"/>
  <c r="CE18" i="20"/>
  <c r="CF11" i="20"/>
  <c r="CF10" i="20"/>
  <c r="CF18" i="20"/>
  <c r="CE11" i="20"/>
  <c r="CE10" i="20"/>
  <c r="CF17" i="20"/>
  <c r="CF9" i="20"/>
  <c r="CE17" i="20"/>
  <c r="CF15" i="20"/>
  <c r="CE9" i="20"/>
  <c r="CF12" i="20"/>
  <c r="CE12" i="20"/>
  <c r="BY15" i="20"/>
  <c r="BZ12" i="20"/>
  <c r="BZ18" i="20"/>
  <c r="BZ17" i="20"/>
  <c r="BZ9" i="20"/>
  <c r="BY18" i="20"/>
  <c r="BY11" i="20"/>
  <c r="BY10" i="20"/>
  <c r="BY12" i="20"/>
  <c r="BZ10" i="20"/>
  <c r="BZ15" i="20"/>
  <c r="BY17" i="20"/>
  <c r="BZ11" i="20"/>
  <c r="EY11" i="16"/>
  <c r="EY9" i="16"/>
  <c r="EX9" i="16"/>
  <c r="EX18" i="16"/>
  <c r="EY17" i="16"/>
  <c r="EY10" i="16"/>
  <c r="EY18" i="16"/>
  <c r="EY15" i="16"/>
  <c r="EX12" i="16"/>
  <c r="EX11" i="16"/>
  <c r="EX15" i="16"/>
  <c r="EX10" i="16"/>
  <c r="EX17" i="16"/>
  <c r="EY12" i="16"/>
  <c r="EQ12" i="16"/>
  <c r="ER17" i="16"/>
  <c r="ER12" i="16"/>
  <c r="EQ15" i="16"/>
  <c r="EQ9" i="16"/>
  <c r="ER15" i="16"/>
  <c r="EQ18" i="16"/>
  <c r="ER9" i="16"/>
  <c r="EQ10" i="16"/>
  <c r="ER10" i="16"/>
  <c r="EQ11" i="16"/>
  <c r="EQ17" i="16"/>
  <c r="ER11" i="16"/>
  <c r="ER18" i="16"/>
  <c r="EJ12" i="16"/>
  <c r="EI17" i="16"/>
  <c r="EJ10" i="16"/>
  <c r="EJ15" i="16"/>
  <c r="EI10" i="16"/>
  <c r="EI9" i="16"/>
  <c r="EI11" i="16"/>
  <c r="EJ9" i="16"/>
  <c r="EJ17" i="16"/>
  <c r="EJ11" i="16"/>
  <c r="EJ18" i="16"/>
  <c r="EI12" i="16"/>
  <c r="EI15" i="16"/>
  <c r="EI18" i="16"/>
  <c r="EN10" i="16"/>
  <c r="EM10" i="16"/>
  <c r="EM18" i="16"/>
  <c r="EN18" i="16"/>
  <c r="EN11" i="16"/>
  <c r="EN15" i="16"/>
  <c r="EM11" i="16"/>
  <c r="EN17" i="16"/>
  <c r="EM9" i="16"/>
  <c r="EN9" i="16"/>
  <c r="EN12" i="16"/>
  <c r="EM12" i="16"/>
  <c r="EM17" i="16"/>
  <c r="EM15" i="16"/>
  <c r="S20" i="14"/>
  <c r="DG17" i="16"/>
  <c r="DG10" i="16"/>
  <c r="DH15" i="16"/>
  <c r="DH18" i="16"/>
  <c r="DG12" i="16"/>
  <c r="DH12" i="16"/>
  <c r="DG9" i="16"/>
  <c r="DH9" i="16"/>
  <c r="DH11" i="16"/>
  <c r="DH17" i="16"/>
  <c r="DG15" i="16"/>
  <c r="DG18" i="16"/>
  <c r="DH10" i="16"/>
  <c r="DG11" i="16"/>
  <c r="BV20" i="16"/>
  <c r="F22" i="11"/>
  <c r="BD20" i="8"/>
  <c r="CI9" i="16"/>
  <c r="CH11" i="16"/>
  <c r="CH12" i="16"/>
  <c r="CI18" i="16"/>
  <c r="CH15" i="16"/>
  <c r="CH17" i="16"/>
  <c r="CH10" i="16"/>
  <c r="CI11" i="16"/>
  <c r="CH18" i="16"/>
  <c r="CI12" i="16"/>
  <c r="CI15" i="16"/>
  <c r="CI17" i="16"/>
  <c r="CH9" i="16"/>
  <c r="CI10" i="16"/>
  <c r="CB17" i="16"/>
  <c r="CB15" i="16"/>
  <c r="CB10" i="16"/>
  <c r="CC12" i="16"/>
  <c r="CB11" i="16"/>
  <c r="CC15" i="16"/>
  <c r="CC18" i="16"/>
  <c r="CC9" i="16"/>
  <c r="CB18" i="16"/>
  <c r="CB9" i="16"/>
  <c r="CC10" i="16"/>
  <c r="CC17" i="16"/>
  <c r="CB12" i="16"/>
  <c r="CC11" i="16"/>
  <c r="CE9" i="16"/>
  <c r="CQ12" i="16"/>
  <c r="CR18" i="16"/>
  <c r="CQ10" i="16"/>
  <c r="CR12" i="16"/>
  <c r="CR15" i="16"/>
  <c r="CQ17" i="16"/>
  <c r="CQ9" i="16"/>
  <c r="CR9" i="16"/>
  <c r="CQ11" i="16"/>
  <c r="CR17" i="16"/>
  <c r="CR10" i="16"/>
  <c r="CR11" i="16"/>
  <c r="CQ15" i="16"/>
  <c r="CQ18" i="16"/>
  <c r="CF10" i="16"/>
  <c r="CF9" i="16"/>
  <c r="CE17" i="16"/>
  <c r="CF17" i="16"/>
  <c r="CE15" i="16"/>
  <c r="CE18" i="16"/>
  <c r="CF11" i="16"/>
  <c r="CF12" i="16"/>
  <c r="CE10" i="16"/>
  <c r="CF15" i="16"/>
  <c r="CE11" i="16"/>
  <c r="CE12" i="16"/>
  <c r="CF18" i="16"/>
  <c r="BY10" i="16"/>
  <c r="BY18" i="16"/>
  <c r="BZ18" i="16"/>
  <c r="BY15" i="16"/>
  <c r="BY11" i="16"/>
  <c r="BZ9" i="16"/>
  <c r="BY17" i="16"/>
  <c r="BZ11" i="16"/>
  <c r="BZ10" i="16"/>
  <c r="BZ15" i="16"/>
  <c r="BZ12" i="16"/>
  <c r="BZ17" i="16"/>
  <c r="G20" i="3"/>
  <c r="BY12" i="16"/>
  <c r="AO22" i="11"/>
  <c r="I20" i="3"/>
  <c r="J20" i="2"/>
  <c r="S20" i="17"/>
  <c r="F20" i="11"/>
  <c r="AQ20" i="11" s="1"/>
  <c r="AQ13" i="11"/>
  <c r="AQ22" i="11" s="1"/>
  <c r="F20" i="17"/>
  <c r="AQ20" i="17" s="1"/>
  <c r="F22" i="16"/>
  <c r="E20" i="6"/>
  <c r="C20" i="6"/>
  <c r="AO20" i="11"/>
  <c r="AM20" i="11"/>
  <c r="B20" i="6"/>
  <c r="AL20" i="11"/>
  <c r="BL19" i="16"/>
  <c r="F20" i="16"/>
  <c r="E22" i="21"/>
  <c r="E20" i="21"/>
  <c r="AW22" i="20"/>
  <c r="AV22" i="11"/>
  <c r="C20" i="14"/>
  <c r="BF20" i="8"/>
  <c r="Z20" i="21"/>
  <c r="M20" i="16"/>
  <c r="AM22" i="11"/>
  <c r="U20" i="20"/>
  <c r="BT22" i="16"/>
  <c r="BT20" i="16"/>
  <c r="E20" i="3"/>
  <c r="AN20" i="11"/>
  <c r="D20" i="6"/>
  <c r="J20" i="21"/>
  <c r="AT20" i="21" s="1"/>
  <c r="BE20" i="8"/>
  <c r="J19" i="12"/>
  <c r="K13" i="7"/>
  <c r="K13" i="12"/>
  <c r="N20" i="11"/>
  <c r="AA22" i="21"/>
  <c r="Z22" i="21"/>
  <c r="I22" i="12"/>
  <c r="K19" i="7"/>
  <c r="K19" i="12"/>
  <c r="E22" i="16"/>
  <c r="D21" i="12"/>
  <c r="Q21" i="17"/>
  <c r="K20" i="12" l="1"/>
  <c r="BV22" i="16"/>
  <c r="K20" i="20"/>
  <c r="AS20" i="20" s="1"/>
  <c r="AV20" i="11"/>
  <c r="S20" i="11"/>
  <c r="T20" i="11" s="1"/>
  <c r="EF9" i="20"/>
  <c r="EF10" i="20"/>
  <c r="EF18" i="20"/>
  <c r="EF17" i="20"/>
  <c r="EG15" i="20"/>
  <c r="EG11" i="20"/>
  <c r="EG12" i="20"/>
  <c r="EF11" i="20"/>
  <c r="EF15" i="20"/>
  <c r="EG18" i="20"/>
  <c r="EG17" i="20"/>
  <c r="EF12" i="20"/>
  <c r="EG10" i="20"/>
  <c r="EG9" i="20"/>
  <c r="EC10" i="20"/>
  <c r="ED18" i="20"/>
  <c r="ED9" i="20"/>
  <c r="AS22" i="20"/>
  <c r="AR22" i="20" s="1"/>
  <c r="ED12" i="20"/>
  <c r="ED11" i="20"/>
  <c r="ED17" i="20"/>
  <c r="ED10" i="20"/>
  <c r="ED15" i="20"/>
  <c r="EC18" i="20"/>
  <c r="EC17" i="20"/>
  <c r="EC15" i="20"/>
  <c r="EC11" i="20"/>
  <c r="EC12" i="20"/>
  <c r="T22" i="11"/>
  <c r="H20" i="7"/>
  <c r="I20" i="7"/>
  <c r="I20" i="12"/>
  <c r="K20" i="7"/>
  <c r="K22" i="12"/>
  <c r="W20" i="20"/>
  <c r="W22" i="20"/>
  <c r="E20" i="20"/>
  <c r="X20" i="20"/>
  <c r="BS20" i="16"/>
  <c r="BQ22" i="16"/>
  <c r="AT22" i="11"/>
  <c r="AT20" i="11"/>
  <c r="J22" i="12"/>
  <c r="AA20" i="21"/>
  <c r="AS20" i="11"/>
  <c r="AS22" i="11"/>
  <c r="P20" i="11"/>
  <c r="Q20" i="11"/>
  <c r="X22" i="20"/>
  <c r="E22" i="11"/>
  <c r="S22" i="11"/>
  <c r="E20" i="16"/>
  <c r="J20" i="7"/>
  <c r="J20" i="12"/>
  <c r="EN17" i="20" l="1"/>
  <c r="EN12" i="20"/>
  <c r="EO15" i="20"/>
  <c r="EO10" i="20"/>
  <c r="EO11" i="20"/>
  <c r="EN10" i="20"/>
  <c r="EO17" i="20"/>
  <c r="EN18" i="20"/>
  <c r="EO12" i="20"/>
  <c r="EN11" i="20"/>
  <c r="EN9" i="20"/>
  <c r="EO18" i="20"/>
  <c r="EN15" i="20"/>
  <c r="EO9" i="20"/>
  <c r="EU10" i="16"/>
  <c r="EU17" i="16"/>
  <c r="EU12" i="16"/>
  <c r="EU18" i="16"/>
  <c r="EU15" i="16"/>
  <c r="EU11" i="16"/>
  <c r="EV12" i="16"/>
  <c r="EU9" i="16"/>
  <c r="EV15" i="16"/>
  <c r="EV10" i="16"/>
  <c r="EV18" i="16"/>
  <c r="EV9" i="16"/>
  <c r="EV11" i="16"/>
  <c r="EV17" i="16"/>
  <c r="Z22" i="16"/>
  <c r="Z20" i="16"/>
  <c r="L20" i="16"/>
  <c r="BL20" i="16" s="1"/>
  <c r="E22" i="20"/>
  <c r="BQ20" i="16"/>
  <c r="FC16" i="16" s="1"/>
  <c r="BL22" i="16"/>
  <c r="BJ22" i="16" s="1"/>
  <c r="W20" i="17"/>
  <c r="W22" i="17"/>
  <c r="AA20" i="16"/>
  <c r="AA22" i="16"/>
  <c r="E20" i="11"/>
  <c r="FF16" i="16" l="1"/>
  <c r="FG16" i="16"/>
  <c r="EU16" i="16"/>
  <c r="EV16" i="16"/>
  <c r="FB16" i="16"/>
  <c r="AU22" i="11"/>
  <c r="AU20" i="11"/>
  <c r="AP20" i="11" s="1"/>
  <c r="AP22" i="11"/>
  <c r="FG15" i="16"/>
  <c r="FG10" i="16"/>
  <c r="FF18" i="16"/>
  <c r="FG9" i="16"/>
  <c r="FG11" i="16"/>
  <c r="FF10" i="16"/>
  <c r="FF9" i="16"/>
  <c r="FF15" i="16"/>
  <c r="FG18" i="16"/>
  <c r="FG17" i="16"/>
  <c r="FF11" i="16"/>
  <c r="FF17" i="16"/>
  <c r="FG12" i="16"/>
  <c r="FF12" i="16"/>
  <c r="FB11" i="16"/>
  <c r="FC9" i="16"/>
  <c r="FC15" i="16"/>
  <c r="FB17" i="16"/>
  <c r="FB15" i="16"/>
  <c r="FB18" i="16"/>
  <c r="FB9" i="16"/>
  <c r="FC18" i="16"/>
  <c r="FC10" i="16"/>
  <c r="FC17" i="16"/>
  <c r="FC12" i="16"/>
  <c r="FB10" i="16"/>
  <c r="FB12" i="16"/>
  <c r="FC11" i="16"/>
  <c r="X20" i="17"/>
  <c r="X22"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family val="2"/>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family val="2"/>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family val="2"/>
          </rPr>
          <t>Oculto</t>
        </r>
      </text>
    </comment>
    <comment ref="Z19"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List>
</comments>
</file>

<file path=xl/comments8.xml><?xml version="1.0" encoding="utf-8"?>
<comments xmlns="http://schemas.openxmlformats.org/spreadsheetml/2006/main">
  <authors>
    <author>Jose Manuel Hernandez Mayor</author>
    <author>Hernandez Mayor, Jose Manuel</author>
    <author>Diez Rodriguez, Susana</author>
    <author>SDR</author>
    <author>Jose Manuel Hernandez</author>
  </authors>
  <commentList>
    <comment ref="I5" authorId="0" shapeId="0">
      <text>
        <r>
          <rPr>
            <b/>
            <sz val="9"/>
            <color indexed="81"/>
            <rFont val="Tahoma"/>
            <family val="2"/>
          </rPr>
          <t>R</t>
        </r>
      </text>
    </comment>
    <comment ref="Y5" authorId="0" shapeId="0">
      <text>
        <r>
          <rPr>
            <b/>
            <sz val="9"/>
            <color indexed="81"/>
            <rFont val="Tahoma"/>
            <family val="2"/>
          </rPr>
          <t>R</t>
        </r>
        <r>
          <rPr>
            <sz val="9"/>
            <color indexed="81"/>
            <rFont val="Tahoma"/>
            <family val="2"/>
          </rPr>
          <t xml:space="preserve">
</t>
        </r>
      </text>
    </comment>
    <comment ref="AA5" authorId="0" shapeId="0">
      <text>
        <r>
          <rPr>
            <b/>
            <sz val="9"/>
            <color indexed="81"/>
            <rFont val="Tahoma"/>
            <family val="2"/>
          </rPr>
          <t>R</t>
        </r>
      </text>
    </comment>
    <comment ref="AB5" authorId="0" shapeId="0">
      <text>
        <r>
          <rPr>
            <b/>
            <sz val="9"/>
            <color indexed="81"/>
            <rFont val="Tahoma"/>
            <family val="2"/>
          </rPr>
          <t>R</t>
        </r>
      </text>
    </comment>
    <comment ref="AC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G5" authorId="1" shapeId="0">
      <text>
        <r>
          <rPr>
            <b/>
            <sz val="9"/>
            <color indexed="81"/>
            <rFont val="Tahoma"/>
            <family val="2"/>
          </rPr>
          <t>Pendencia Concursos año anterior (35)</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T5" authorId="0" shapeId="0">
      <text>
        <r>
          <rPr>
            <b/>
            <sz val="9"/>
            <color indexed="81"/>
            <rFont val="Tahoma"/>
            <family val="2"/>
          </rPr>
          <t>R</t>
        </r>
      </text>
    </comment>
    <comment ref="AU5" authorId="0" shapeId="0">
      <text>
        <r>
          <rPr>
            <b/>
            <sz val="9"/>
            <color indexed="81"/>
            <rFont val="Tahoma"/>
            <family val="2"/>
          </rPr>
          <t>R</t>
        </r>
      </text>
    </comment>
    <comment ref="AV5" authorId="0" shapeId="0">
      <text>
        <r>
          <rPr>
            <b/>
            <sz val="9"/>
            <color indexed="81"/>
            <rFont val="Tahoma"/>
            <family val="2"/>
          </rPr>
          <t>R</t>
        </r>
      </text>
    </comment>
    <comment ref="AX5" authorId="0" shapeId="0">
      <text>
        <r>
          <rPr>
            <b/>
            <sz val="9"/>
            <color indexed="81"/>
            <rFont val="Tahoma"/>
            <family val="2"/>
          </rPr>
          <t>R</t>
        </r>
      </text>
    </comment>
    <comment ref="AY5" authorId="0" shapeId="0">
      <text>
        <r>
          <rPr>
            <b/>
            <sz val="9"/>
            <color indexed="81"/>
            <rFont val="Tahoma"/>
            <family val="2"/>
          </rPr>
          <t>R</t>
        </r>
      </text>
    </comment>
    <comment ref="AZ5" authorId="0" shapeId="0">
      <text>
        <r>
          <rPr>
            <b/>
            <sz val="9"/>
            <color indexed="81"/>
            <rFont val="Tahoma"/>
            <family val="2"/>
          </rPr>
          <t>R</t>
        </r>
      </text>
    </comment>
    <comment ref="BE5" authorId="0" shapeId="0">
      <text>
        <r>
          <rPr>
            <b/>
            <sz val="9"/>
            <color indexed="81"/>
            <rFont val="Tahoma"/>
            <family val="2"/>
          </rPr>
          <t>R</t>
        </r>
      </text>
    </comment>
    <comment ref="BF5" authorId="0" shapeId="0">
      <text>
        <r>
          <rPr>
            <b/>
            <sz val="9"/>
            <color indexed="81"/>
            <rFont val="Tahoma"/>
            <family val="2"/>
          </rPr>
          <t>R</t>
        </r>
      </text>
    </comment>
    <comment ref="BH5" authorId="0" shapeId="0">
      <text>
        <r>
          <rPr>
            <b/>
            <sz val="9"/>
            <color indexed="81"/>
            <rFont val="Tahoma"/>
            <family val="2"/>
          </rPr>
          <t>R</t>
        </r>
      </text>
    </comment>
    <comment ref="BJ5" authorId="0" shapeId="0">
      <text>
        <r>
          <rPr>
            <b/>
            <sz val="9"/>
            <color indexed="81"/>
            <rFont val="Tahoma"/>
            <family val="2"/>
          </rPr>
          <t>R</t>
        </r>
      </text>
    </comment>
    <comment ref="BP5" authorId="0" shapeId="0">
      <text>
        <r>
          <rPr>
            <b/>
            <sz val="9"/>
            <color indexed="81"/>
            <rFont val="Tahoma"/>
            <family val="2"/>
          </rPr>
          <t>R</t>
        </r>
      </text>
    </comment>
    <comment ref="BQ5" authorId="0" shapeId="0">
      <text>
        <r>
          <rPr>
            <b/>
            <sz val="9"/>
            <color indexed="81"/>
            <rFont val="Tahoma"/>
            <family val="2"/>
          </rPr>
          <t>R</t>
        </r>
      </text>
    </comment>
    <comment ref="BT5" authorId="0" shapeId="0">
      <text>
        <r>
          <rPr>
            <b/>
            <sz val="9"/>
            <color indexed="81"/>
            <rFont val="Tahoma"/>
            <family val="2"/>
          </rPr>
          <t>R</t>
        </r>
      </text>
    </comment>
    <comment ref="E9" authorId="2" shapeId="0">
      <text>
        <r>
          <rPr>
            <b/>
            <sz val="9"/>
            <color indexed="81"/>
            <rFont val="Tahoma"/>
            <family val="2"/>
          </rPr>
          <t>Oculto</t>
        </r>
      </text>
    </comment>
    <comment ref="G9" authorId="2" shapeId="0">
      <text>
        <r>
          <rPr>
            <b/>
            <sz val="9"/>
            <color indexed="81"/>
            <rFont val="Tahoma"/>
            <family val="2"/>
          </rPr>
          <t>Oculto</t>
        </r>
      </text>
    </comment>
    <comment ref="H9" authorId="2" shapeId="0">
      <text>
        <r>
          <rPr>
            <b/>
            <sz val="9"/>
            <color indexed="81"/>
            <rFont val="Tahoma"/>
            <family val="2"/>
          </rPr>
          <t>Oculto</t>
        </r>
      </text>
    </comment>
    <comment ref="I9" authorId="1" shapeId="0">
      <text>
        <r>
          <rPr>
            <b/>
            <sz val="9"/>
            <color indexed="81"/>
            <rFont val="Tahoma"/>
            <family val="2"/>
          </rPr>
          <t>Oculto</t>
        </r>
      </text>
    </comment>
    <comment ref="K9" authorId="2" shapeId="0">
      <text>
        <r>
          <rPr>
            <b/>
            <sz val="9"/>
            <color indexed="81"/>
            <rFont val="Tahoma"/>
            <family val="2"/>
          </rPr>
          <t>Oculto</t>
        </r>
      </text>
    </comment>
    <comment ref="L9" authorId="2" shapeId="0">
      <text>
        <r>
          <rPr>
            <b/>
            <sz val="9"/>
            <color indexed="81"/>
            <rFont val="Tahoma"/>
            <family val="2"/>
          </rPr>
          <t>Oculto</t>
        </r>
      </text>
    </comment>
    <comment ref="M9" authorId="2" shapeId="0">
      <text>
        <r>
          <rPr>
            <b/>
            <sz val="9"/>
            <color indexed="81"/>
            <rFont val="Tahoma"/>
            <family val="2"/>
          </rPr>
          <t>Oculto</t>
        </r>
      </text>
    </comment>
    <comment ref="O9" authorId="2" shapeId="0">
      <text>
        <r>
          <rPr>
            <b/>
            <sz val="9"/>
            <color indexed="81"/>
            <rFont val="Tahoma"/>
            <family val="2"/>
          </rPr>
          <t>Oculto</t>
        </r>
      </text>
    </comment>
    <comment ref="P9" authorId="2" shapeId="0">
      <text>
        <r>
          <rPr>
            <b/>
            <sz val="9"/>
            <color indexed="81"/>
            <rFont val="Tahoma"/>
            <family val="2"/>
          </rPr>
          <t>Oculto</t>
        </r>
      </text>
    </comment>
    <comment ref="R9" authorId="2" shapeId="0">
      <text>
        <r>
          <rPr>
            <b/>
            <sz val="9"/>
            <color indexed="81"/>
            <rFont val="Tahoma"/>
            <family val="2"/>
          </rPr>
          <t>Oculto</t>
        </r>
      </text>
    </comment>
    <comment ref="S9" authorId="2" shapeId="0">
      <text>
        <r>
          <rPr>
            <b/>
            <sz val="9"/>
            <color indexed="81"/>
            <rFont val="Tahoma"/>
            <family val="2"/>
          </rPr>
          <t>Oculto</t>
        </r>
      </text>
    </comment>
    <comment ref="T9" authorId="2" shapeId="0">
      <text>
        <r>
          <rPr>
            <b/>
            <sz val="9"/>
            <color indexed="81"/>
            <rFont val="Tahoma"/>
            <family val="2"/>
          </rPr>
          <t>Oculto</t>
        </r>
      </text>
    </comment>
    <comment ref="AG9" authorId="2" shapeId="0">
      <text>
        <r>
          <rPr>
            <b/>
            <sz val="9"/>
            <color indexed="81"/>
            <rFont val="Tahoma"/>
            <family val="2"/>
          </rPr>
          <t>Oculto</t>
        </r>
      </text>
    </comment>
    <comment ref="AK9" authorId="2" shapeId="0">
      <text>
        <r>
          <rPr>
            <b/>
            <sz val="9"/>
            <color indexed="81"/>
            <rFont val="Tahoma"/>
            <family val="2"/>
          </rPr>
          <t>Oculto</t>
        </r>
      </text>
    </comment>
    <comment ref="AL9" authorId="2" shapeId="0">
      <text>
        <r>
          <rPr>
            <b/>
            <sz val="9"/>
            <color indexed="81"/>
            <rFont val="Tahoma"/>
            <family val="2"/>
          </rPr>
          <t>Oculto</t>
        </r>
      </text>
    </comment>
    <comment ref="AN9" authorId="2" shapeId="0">
      <text>
        <r>
          <rPr>
            <b/>
            <sz val="9"/>
            <color indexed="81"/>
            <rFont val="Tahoma"/>
            <family val="2"/>
          </rPr>
          <t>Oculto</t>
        </r>
      </text>
    </comment>
    <comment ref="AO9" authorId="2" shapeId="0">
      <text>
        <r>
          <rPr>
            <b/>
            <sz val="9"/>
            <color indexed="81"/>
            <rFont val="Tahoma"/>
            <family val="2"/>
          </rPr>
          <t>Oculto</t>
        </r>
      </text>
    </comment>
    <comment ref="AP9" authorId="2" shapeId="0">
      <text>
        <r>
          <rPr>
            <b/>
            <sz val="9"/>
            <color indexed="81"/>
            <rFont val="Tahoma"/>
            <family val="2"/>
          </rPr>
          <t>Oculto</t>
        </r>
      </text>
    </comment>
    <comment ref="AQ9" authorId="2" shapeId="0">
      <text>
        <r>
          <rPr>
            <b/>
            <sz val="9"/>
            <color indexed="81"/>
            <rFont val="Tahoma"/>
            <family val="2"/>
          </rPr>
          <t>Oculto</t>
        </r>
      </text>
    </comment>
    <comment ref="AR9" authorId="2" shapeId="0">
      <text>
        <r>
          <rPr>
            <b/>
            <sz val="9"/>
            <color indexed="81"/>
            <rFont val="Tahoma"/>
            <family val="2"/>
          </rPr>
          <t>Oculto</t>
        </r>
      </text>
    </comment>
    <comment ref="BA9" authorId="2" shapeId="0">
      <text>
        <r>
          <rPr>
            <b/>
            <sz val="9"/>
            <color indexed="81"/>
            <rFont val="Tahoma"/>
            <family val="2"/>
          </rPr>
          <t>Oculto</t>
        </r>
      </text>
    </comment>
    <comment ref="BB9" authorId="2" shapeId="0">
      <text>
        <r>
          <rPr>
            <b/>
            <sz val="9"/>
            <color indexed="81"/>
            <rFont val="Tahoma"/>
            <family val="2"/>
          </rPr>
          <t>Oculto</t>
        </r>
      </text>
    </comment>
    <comment ref="BI9" authorId="2" shapeId="0">
      <text>
        <r>
          <rPr>
            <b/>
            <sz val="9"/>
            <color indexed="81"/>
            <rFont val="Tahoma"/>
            <family val="2"/>
          </rPr>
          <t>Oculto</t>
        </r>
      </text>
    </comment>
    <comment ref="BK9" authorId="2" shapeId="0">
      <text>
        <r>
          <rPr>
            <b/>
            <sz val="9"/>
            <color indexed="81"/>
            <rFont val="Tahoma"/>
            <family val="2"/>
          </rPr>
          <t>Oculto</t>
        </r>
      </text>
    </comment>
    <comment ref="BN9" authorId="2" shapeId="0">
      <text>
        <r>
          <rPr>
            <b/>
            <sz val="9"/>
            <color indexed="81"/>
            <rFont val="Tahoma"/>
            <family val="2"/>
          </rPr>
          <t>Oculto</t>
        </r>
      </text>
    </comment>
    <comment ref="BO9" authorId="2" shapeId="0">
      <text>
        <r>
          <rPr>
            <b/>
            <sz val="9"/>
            <color indexed="81"/>
            <rFont val="Tahoma"/>
            <family val="2"/>
          </rPr>
          <t>Oculto</t>
        </r>
      </text>
    </comment>
    <comment ref="BR9" authorId="2" shapeId="0">
      <text>
        <r>
          <rPr>
            <b/>
            <sz val="9"/>
            <color indexed="81"/>
            <rFont val="Tahoma"/>
            <family val="2"/>
          </rPr>
          <t>Oculto</t>
        </r>
      </text>
    </comment>
    <comment ref="BS9" authorId="2" shapeId="0">
      <text>
        <r>
          <rPr>
            <b/>
            <sz val="9"/>
            <color indexed="81"/>
            <rFont val="Tahoma"/>
            <family val="2"/>
          </rPr>
          <t>Oculto</t>
        </r>
      </text>
    </comment>
    <comment ref="D10" authorId="2" shapeId="0">
      <text>
        <r>
          <rPr>
            <b/>
            <sz val="9"/>
            <color indexed="81"/>
            <rFont val="Tahoma"/>
            <family val="2"/>
          </rPr>
          <t>Oculto</t>
        </r>
      </text>
    </comment>
    <comment ref="E10" authorId="2" shapeId="0">
      <text>
        <r>
          <rPr>
            <b/>
            <sz val="9"/>
            <color indexed="81"/>
            <rFont val="Tahoma"/>
            <family val="2"/>
          </rPr>
          <t>Oculto</t>
        </r>
      </text>
    </comment>
    <comment ref="G10" authorId="2" shapeId="0">
      <text>
        <r>
          <rPr>
            <b/>
            <sz val="9"/>
            <color indexed="81"/>
            <rFont val="Tahoma"/>
            <family val="2"/>
          </rPr>
          <t>Oculto</t>
        </r>
      </text>
    </comment>
    <comment ref="H10" authorId="2" shapeId="0">
      <text>
        <r>
          <rPr>
            <b/>
            <sz val="9"/>
            <color indexed="81"/>
            <rFont val="Tahoma"/>
            <family val="2"/>
          </rPr>
          <t>Oculto</t>
        </r>
      </text>
    </comment>
    <comment ref="J10" authorId="2" shapeId="0">
      <text>
        <r>
          <rPr>
            <b/>
            <sz val="9"/>
            <color indexed="81"/>
            <rFont val="Tahoma"/>
            <family val="2"/>
          </rPr>
          <t>Oculto</t>
        </r>
      </text>
    </comment>
    <comment ref="K10" authorId="2" shapeId="0">
      <text>
        <r>
          <rPr>
            <b/>
            <sz val="9"/>
            <color indexed="81"/>
            <rFont val="Tahoma"/>
            <family val="2"/>
          </rPr>
          <t>Oculto</t>
        </r>
      </text>
    </comment>
    <comment ref="L10" authorId="2" shapeId="0">
      <text>
        <r>
          <rPr>
            <b/>
            <sz val="9"/>
            <color indexed="81"/>
            <rFont val="Tahoma"/>
            <family val="2"/>
          </rPr>
          <t>Oculto</t>
        </r>
      </text>
    </comment>
    <comment ref="M10" authorId="2" shapeId="0">
      <text>
        <r>
          <rPr>
            <b/>
            <sz val="9"/>
            <color indexed="81"/>
            <rFont val="Tahoma"/>
            <family val="2"/>
          </rPr>
          <t>Oculto</t>
        </r>
      </text>
    </comment>
    <comment ref="N10" authorId="2" shapeId="0">
      <text>
        <r>
          <rPr>
            <b/>
            <sz val="9"/>
            <color indexed="81"/>
            <rFont val="Tahoma"/>
            <family val="2"/>
          </rPr>
          <t>Oculto</t>
        </r>
      </text>
    </comment>
    <comment ref="O10" authorId="2" shapeId="0">
      <text>
        <r>
          <rPr>
            <b/>
            <sz val="9"/>
            <color indexed="81"/>
            <rFont val="Tahoma"/>
            <family val="2"/>
          </rPr>
          <t>Oculto</t>
        </r>
      </text>
    </comment>
    <comment ref="P10" authorId="2" shapeId="0">
      <text>
        <r>
          <rPr>
            <b/>
            <sz val="9"/>
            <color indexed="81"/>
            <rFont val="Tahoma"/>
            <family val="2"/>
          </rPr>
          <t>Oculto</t>
        </r>
      </text>
    </comment>
    <comment ref="R10" authorId="2" shapeId="0">
      <text>
        <r>
          <rPr>
            <b/>
            <sz val="9"/>
            <color indexed="81"/>
            <rFont val="Tahoma"/>
            <family val="2"/>
          </rPr>
          <t>Oculto</t>
        </r>
      </text>
    </comment>
    <comment ref="S10" authorId="2" shapeId="0">
      <text>
        <r>
          <rPr>
            <b/>
            <sz val="9"/>
            <color indexed="81"/>
            <rFont val="Tahoma"/>
            <family val="2"/>
          </rPr>
          <t>Oculto</t>
        </r>
      </text>
    </comment>
    <comment ref="T10" authorId="2" shapeId="0">
      <text>
        <r>
          <rPr>
            <b/>
            <sz val="9"/>
            <color indexed="81"/>
            <rFont val="Tahoma"/>
            <family val="2"/>
          </rPr>
          <t>Oculto</t>
        </r>
      </text>
    </comment>
    <comment ref="U10" authorId="3" shapeId="0">
      <text>
        <r>
          <rPr>
            <b/>
            <sz val="9"/>
            <color indexed="81"/>
            <rFont val="Tahoma"/>
            <family val="2"/>
          </rPr>
          <t>Oculto</t>
        </r>
      </text>
    </comment>
    <comment ref="V10" authorId="2" shapeId="0">
      <text>
        <r>
          <rPr>
            <b/>
            <sz val="9"/>
            <color indexed="81"/>
            <rFont val="Tahoma"/>
            <family val="2"/>
          </rPr>
          <t>Oculto</t>
        </r>
      </text>
    </comment>
    <comment ref="Y10" authorId="2" shapeId="0">
      <text>
        <r>
          <rPr>
            <b/>
            <sz val="9"/>
            <color indexed="81"/>
            <rFont val="Tahoma"/>
            <family val="2"/>
          </rPr>
          <t>Oculto</t>
        </r>
      </text>
    </comment>
    <comment ref="AD10" authorId="2" shapeId="0">
      <text>
        <r>
          <rPr>
            <b/>
            <sz val="9"/>
            <color indexed="81"/>
            <rFont val="Tahoma"/>
            <family val="2"/>
          </rPr>
          <t>Oculto</t>
        </r>
      </text>
    </comment>
    <comment ref="AE10" authorId="4" shapeId="0">
      <text>
        <r>
          <rPr>
            <b/>
            <sz val="9"/>
            <color indexed="81"/>
            <rFont val="Tahoma"/>
            <family val="2"/>
          </rPr>
          <t>Oculto</t>
        </r>
      </text>
    </comment>
    <comment ref="AG10" authorId="2" shapeId="0">
      <text>
        <r>
          <rPr>
            <b/>
            <sz val="9"/>
            <color indexed="81"/>
            <rFont val="Tahoma"/>
            <family val="2"/>
          </rPr>
          <t>Oculto</t>
        </r>
      </text>
    </comment>
    <comment ref="AH10" authorId="2" shapeId="0">
      <text>
        <r>
          <rPr>
            <b/>
            <sz val="9"/>
            <color indexed="81"/>
            <rFont val="Tahoma"/>
            <family val="2"/>
          </rPr>
          <t>Oculto</t>
        </r>
      </text>
    </comment>
    <comment ref="AI10" authorId="2" shapeId="0">
      <text>
        <r>
          <rPr>
            <b/>
            <sz val="9"/>
            <color indexed="81"/>
            <rFont val="Tahoma"/>
            <family val="2"/>
          </rPr>
          <t>Oculto</t>
        </r>
      </text>
    </comment>
    <comment ref="AJ10" authorId="4" shapeId="0">
      <text>
        <r>
          <rPr>
            <b/>
            <sz val="9"/>
            <color indexed="81"/>
            <rFont val="Tahoma"/>
            <family val="2"/>
          </rPr>
          <t>Oculto</t>
        </r>
      </text>
    </comment>
    <comment ref="AK10" authorId="2" shapeId="0">
      <text>
        <r>
          <rPr>
            <b/>
            <sz val="9"/>
            <color indexed="81"/>
            <rFont val="Tahoma"/>
            <family val="2"/>
          </rPr>
          <t>Oculto</t>
        </r>
      </text>
    </comment>
    <comment ref="AL10" authorId="2" shapeId="0">
      <text>
        <r>
          <rPr>
            <b/>
            <sz val="9"/>
            <color indexed="81"/>
            <rFont val="Tahoma"/>
            <family val="2"/>
          </rPr>
          <t>Oculto</t>
        </r>
      </text>
    </comment>
    <comment ref="AN10" authorId="2" shapeId="0">
      <text>
        <r>
          <rPr>
            <b/>
            <sz val="9"/>
            <color indexed="81"/>
            <rFont val="Tahoma"/>
            <family val="2"/>
          </rPr>
          <t>Oculto</t>
        </r>
      </text>
    </comment>
    <comment ref="AO10" authorId="2" shapeId="0">
      <text>
        <r>
          <rPr>
            <b/>
            <sz val="9"/>
            <color indexed="81"/>
            <rFont val="Tahoma"/>
            <family val="2"/>
          </rPr>
          <t>Oculto</t>
        </r>
      </text>
    </comment>
    <comment ref="AP10" authorId="2" shapeId="0">
      <text>
        <r>
          <rPr>
            <b/>
            <sz val="9"/>
            <color indexed="81"/>
            <rFont val="Tahoma"/>
            <family val="2"/>
          </rPr>
          <t>Oculto</t>
        </r>
      </text>
    </comment>
    <comment ref="AQ10" authorId="2" shapeId="0">
      <text>
        <r>
          <rPr>
            <b/>
            <sz val="9"/>
            <color indexed="81"/>
            <rFont val="Tahoma"/>
            <family val="2"/>
          </rPr>
          <t>Oculto</t>
        </r>
      </text>
    </comment>
    <comment ref="AR10" authorId="2" shapeId="0">
      <text>
        <r>
          <rPr>
            <b/>
            <sz val="9"/>
            <color indexed="81"/>
            <rFont val="Tahoma"/>
            <family val="2"/>
          </rPr>
          <t>Oculto</t>
        </r>
      </text>
    </comment>
    <comment ref="BA10" authorId="2" shapeId="0">
      <text>
        <r>
          <rPr>
            <b/>
            <sz val="9"/>
            <color indexed="81"/>
            <rFont val="Tahoma"/>
            <family val="2"/>
          </rPr>
          <t>Oculto</t>
        </r>
      </text>
    </comment>
    <comment ref="BB10" authorId="2" shapeId="0">
      <text>
        <r>
          <rPr>
            <b/>
            <sz val="9"/>
            <color indexed="81"/>
            <rFont val="Tahoma"/>
            <family val="2"/>
          </rPr>
          <t>Oculto</t>
        </r>
      </text>
    </comment>
    <comment ref="BI10" authorId="2" shapeId="0">
      <text>
        <r>
          <rPr>
            <b/>
            <sz val="9"/>
            <color indexed="81"/>
            <rFont val="Tahoma"/>
            <family val="2"/>
          </rPr>
          <t>Oculto</t>
        </r>
      </text>
    </comment>
    <comment ref="BK10" authorId="2" shapeId="0">
      <text>
        <r>
          <rPr>
            <b/>
            <sz val="9"/>
            <color indexed="81"/>
            <rFont val="Tahoma"/>
            <family val="2"/>
          </rPr>
          <t>Oculto</t>
        </r>
      </text>
    </comment>
    <comment ref="BN10" authorId="2" shapeId="0">
      <text>
        <r>
          <rPr>
            <b/>
            <sz val="9"/>
            <color indexed="81"/>
            <rFont val="Tahoma"/>
            <family val="2"/>
          </rPr>
          <t>Oculto</t>
        </r>
      </text>
    </comment>
    <comment ref="BO10" authorId="2" shapeId="0">
      <text>
        <r>
          <rPr>
            <b/>
            <sz val="9"/>
            <color indexed="81"/>
            <rFont val="Tahoma"/>
            <family val="2"/>
          </rPr>
          <t>Oculto</t>
        </r>
      </text>
    </comment>
    <comment ref="BR10" authorId="2" shapeId="0">
      <text>
        <r>
          <rPr>
            <b/>
            <sz val="9"/>
            <color indexed="81"/>
            <rFont val="Tahoma"/>
            <family val="2"/>
          </rPr>
          <t>Oculto</t>
        </r>
      </text>
    </comment>
    <comment ref="BS10" authorId="2" shapeId="0">
      <text>
        <r>
          <rPr>
            <b/>
            <sz val="9"/>
            <color indexed="81"/>
            <rFont val="Tahoma"/>
            <family val="2"/>
          </rPr>
          <t>Oculto</t>
        </r>
      </text>
    </comment>
    <comment ref="E11" authorId="2" shapeId="0">
      <text>
        <r>
          <rPr>
            <b/>
            <sz val="9"/>
            <color indexed="81"/>
            <rFont val="Tahoma"/>
            <family val="2"/>
          </rPr>
          <t>Oculto</t>
        </r>
      </text>
    </comment>
    <comment ref="G11" authorId="2" shapeId="0">
      <text>
        <r>
          <rPr>
            <b/>
            <sz val="9"/>
            <color indexed="81"/>
            <rFont val="Tahoma"/>
            <family val="2"/>
          </rPr>
          <t>Oculto</t>
        </r>
      </text>
    </comment>
    <comment ref="H11" authorId="2" shapeId="0">
      <text>
        <r>
          <rPr>
            <b/>
            <sz val="9"/>
            <color indexed="81"/>
            <rFont val="Tahoma"/>
            <family val="2"/>
          </rPr>
          <t>Oculto</t>
        </r>
      </text>
    </comment>
    <comment ref="J11" authorId="1" shapeId="0">
      <text>
        <r>
          <rPr>
            <b/>
            <sz val="9"/>
            <color indexed="81"/>
            <rFont val="Tahoma"/>
            <family val="2"/>
          </rPr>
          <t>Oculto</t>
        </r>
      </text>
    </comment>
    <comment ref="K11" authorId="2" shapeId="0">
      <text>
        <r>
          <rPr>
            <b/>
            <sz val="9"/>
            <color indexed="81"/>
            <rFont val="Tahoma"/>
            <family val="2"/>
          </rPr>
          <t>Oculto</t>
        </r>
      </text>
    </comment>
    <comment ref="L11" authorId="2" shapeId="0">
      <text>
        <r>
          <rPr>
            <b/>
            <sz val="9"/>
            <color indexed="81"/>
            <rFont val="Tahoma"/>
            <family val="2"/>
          </rPr>
          <t>Oculto</t>
        </r>
      </text>
    </comment>
    <comment ref="M11" authorId="2" shapeId="0">
      <text>
        <r>
          <rPr>
            <b/>
            <sz val="9"/>
            <color indexed="81"/>
            <rFont val="Tahoma"/>
            <family val="2"/>
          </rPr>
          <t>Oculto</t>
        </r>
      </text>
    </comment>
    <comment ref="O11" authorId="2" shapeId="0">
      <text>
        <r>
          <rPr>
            <b/>
            <sz val="9"/>
            <color indexed="81"/>
            <rFont val="Tahoma"/>
            <family val="2"/>
          </rPr>
          <t>Oculto</t>
        </r>
      </text>
    </comment>
    <comment ref="P11" authorId="2" shapeId="0">
      <text>
        <r>
          <rPr>
            <b/>
            <sz val="9"/>
            <color indexed="81"/>
            <rFont val="Tahoma"/>
            <family val="2"/>
          </rPr>
          <t>Oculto</t>
        </r>
      </text>
    </comment>
    <comment ref="R11" authorId="2" shapeId="0">
      <text>
        <r>
          <rPr>
            <b/>
            <sz val="9"/>
            <color indexed="81"/>
            <rFont val="Tahoma"/>
            <family val="2"/>
          </rPr>
          <t>Oculto</t>
        </r>
      </text>
    </comment>
    <comment ref="S11" authorId="2" shapeId="0">
      <text>
        <r>
          <rPr>
            <b/>
            <sz val="9"/>
            <color indexed="81"/>
            <rFont val="Tahoma"/>
            <family val="2"/>
          </rPr>
          <t>Oculto</t>
        </r>
      </text>
    </comment>
    <comment ref="T11" authorId="2" shapeId="0">
      <text>
        <r>
          <rPr>
            <b/>
            <sz val="9"/>
            <color indexed="81"/>
            <rFont val="Tahoma"/>
            <family val="2"/>
          </rPr>
          <t>Oculto</t>
        </r>
      </text>
    </comment>
    <comment ref="Y11" authorId="2" shapeId="0">
      <text>
        <r>
          <rPr>
            <b/>
            <sz val="9"/>
            <color indexed="81"/>
            <rFont val="Tahoma"/>
            <family val="2"/>
          </rPr>
          <t>Oculto</t>
        </r>
      </text>
    </comment>
    <comment ref="AD11" authorId="2" shapeId="0">
      <text>
        <r>
          <rPr>
            <b/>
            <sz val="9"/>
            <color indexed="81"/>
            <rFont val="Tahoma"/>
            <family val="2"/>
          </rPr>
          <t>Oculto</t>
        </r>
      </text>
    </comment>
    <comment ref="AE11" authorId="4" shapeId="0">
      <text>
        <r>
          <rPr>
            <b/>
            <sz val="9"/>
            <color indexed="81"/>
            <rFont val="Tahoma"/>
            <family val="2"/>
          </rPr>
          <t>Oculto</t>
        </r>
      </text>
    </comment>
    <comment ref="AG11" authorId="2" shapeId="0">
      <text>
        <r>
          <rPr>
            <b/>
            <sz val="9"/>
            <color indexed="81"/>
            <rFont val="Tahoma"/>
            <family val="2"/>
          </rPr>
          <t>Oculto</t>
        </r>
      </text>
    </comment>
    <comment ref="AI11" authorId="2" shapeId="0">
      <text>
        <r>
          <rPr>
            <b/>
            <sz val="9"/>
            <color indexed="81"/>
            <rFont val="Tahoma"/>
            <family val="2"/>
          </rPr>
          <t>Oculto</t>
        </r>
      </text>
    </comment>
    <comment ref="AJ11" authorId="4" shapeId="0">
      <text>
        <r>
          <rPr>
            <b/>
            <sz val="9"/>
            <color indexed="81"/>
            <rFont val="Tahoma"/>
            <family val="2"/>
          </rPr>
          <t>Oculto</t>
        </r>
      </text>
    </comment>
    <comment ref="AK11" authorId="2" shapeId="0">
      <text>
        <r>
          <rPr>
            <b/>
            <sz val="9"/>
            <color indexed="81"/>
            <rFont val="Tahoma"/>
            <family val="2"/>
          </rPr>
          <t>Oculto</t>
        </r>
      </text>
    </comment>
    <comment ref="AL11" authorId="2" shapeId="0">
      <text>
        <r>
          <rPr>
            <b/>
            <sz val="9"/>
            <color indexed="81"/>
            <rFont val="Tahoma"/>
            <family val="2"/>
          </rPr>
          <t>Oculto</t>
        </r>
      </text>
    </comment>
    <comment ref="AN11" authorId="2" shapeId="0">
      <text>
        <r>
          <rPr>
            <b/>
            <sz val="9"/>
            <color indexed="81"/>
            <rFont val="Tahoma"/>
            <family val="2"/>
          </rPr>
          <t>Oculto</t>
        </r>
      </text>
    </comment>
    <comment ref="AO11" authorId="2" shapeId="0">
      <text>
        <r>
          <rPr>
            <b/>
            <sz val="9"/>
            <color indexed="81"/>
            <rFont val="Tahoma"/>
            <family val="2"/>
          </rPr>
          <t>Oculto</t>
        </r>
      </text>
    </comment>
    <comment ref="AP11" authorId="2" shapeId="0">
      <text>
        <r>
          <rPr>
            <b/>
            <sz val="9"/>
            <color indexed="81"/>
            <rFont val="Tahoma"/>
            <family val="2"/>
          </rPr>
          <t>Oculto</t>
        </r>
      </text>
    </comment>
    <comment ref="AQ11" authorId="2" shapeId="0">
      <text>
        <r>
          <rPr>
            <b/>
            <sz val="9"/>
            <color indexed="81"/>
            <rFont val="Tahoma"/>
            <family val="2"/>
          </rPr>
          <t>Oculto</t>
        </r>
      </text>
    </comment>
    <comment ref="AR11" authorId="2" shapeId="0">
      <text>
        <r>
          <rPr>
            <b/>
            <sz val="9"/>
            <color indexed="81"/>
            <rFont val="Tahoma"/>
            <family val="2"/>
          </rPr>
          <t>Oculto</t>
        </r>
      </text>
    </comment>
    <comment ref="BA11" authorId="2" shapeId="0">
      <text>
        <r>
          <rPr>
            <b/>
            <sz val="9"/>
            <color indexed="81"/>
            <rFont val="Tahoma"/>
            <family val="2"/>
          </rPr>
          <t>Oculto</t>
        </r>
      </text>
    </comment>
    <comment ref="BB11" authorId="2" shapeId="0">
      <text>
        <r>
          <rPr>
            <b/>
            <sz val="9"/>
            <color indexed="81"/>
            <rFont val="Tahoma"/>
            <family val="2"/>
          </rPr>
          <t>Oculto</t>
        </r>
      </text>
    </comment>
    <comment ref="BI11" authorId="2" shapeId="0">
      <text>
        <r>
          <rPr>
            <b/>
            <sz val="9"/>
            <color indexed="81"/>
            <rFont val="Tahoma"/>
            <family val="2"/>
          </rPr>
          <t>Oculto</t>
        </r>
      </text>
    </comment>
    <comment ref="BK11" authorId="2" shapeId="0">
      <text>
        <r>
          <rPr>
            <b/>
            <sz val="9"/>
            <color indexed="81"/>
            <rFont val="Tahoma"/>
            <family val="2"/>
          </rPr>
          <t>Oculto</t>
        </r>
      </text>
    </comment>
    <comment ref="BN11" authorId="2" shapeId="0">
      <text>
        <r>
          <rPr>
            <b/>
            <sz val="9"/>
            <color indexed="81"/>
            <rFont val="Tahoma"/>
            <family val="2"/>
          </rPr>
          <t>Oculto</t>
        </r>
      </text>
    </comment>
    <comment ref="BO11" authorId="2" shapeId="0">
      <text>
        <r>
          <rPr>
            <b/>
            <sz val="9"/>
            <color indexed="81"/>
            <rFont val="Tahoma"/>
            <family val="2"/>
          </rPr>
          <t>Oculto</t>
        </r>
      </text>
    </comment>
    <comment ref="BR11" authorId="2" shapeId="0">
      <text>
        <r>
          <rPr>
            <b/>
            <sz val="9"/>
            <color indexed="81"/>
            <rFont val="Tahoma"/>
            <family val="2"/>
          </rPr>
          <t>Oculto</t>
        </r>
      </text>
    </comment>
    <comment ref="BS11" authorId="2" shapeId="0">
      <text>
        <r>
          <rPr>
            <b/>
            <sz val="9"/>
            <color indexed="81"/>
            <rFont val="Tahoma"/>
            <family val="2"/>
          </rPr>
          <t>Oculto</t>
        </r>
      </text>
    </comment>
    <comment ref="E12" authorId="2" shapeId="0">
      <text>
        <r>
          <rPr>
            <b/>
            <sz val="9"/>
            <color indexed="81"/>
            <rFont val="Tahoma"/>
            <family val="2"/>
          </rPr>
          <t>Oculto</t>
        </r>
      </text>
    </comment>
    <comment ref="G12" authorId="2" shapeId="0">
      <text>
        <r>
          <rPr>
            <b/>
            <sz val="9"/>
            <color indexed="81"/>
            <rFont val="Tahoma"/>
            <family val="2"/>
          </rPr>
          <t>Oculto</t>
        </r>
      </text>
    </comment>
    <comment ref="H12" authorId="2" shapeId="0">
      <text>
        <r>
          <rPr>
            <b/>
            <sz val="9"/>
            <color indexed="81"/>
            <rFont val="Tahoma"/>
            <family val="2"/>
          </rPr>
          <t>Oculto</t>
        </r>
      </text>
    </comment>
    <comment ref="J12" authorId="1" shapeId="0">
      <text>
        <r>
          <rPr>
            <b/>
            <sz val="9"/>
            <color indexed="81"/>
            <rFont val="Tahoma"/>
            <family val="2"/>
          </rPr>
          <t>Oculto</t>
        </r>
      </text>
    </comment>
    <comment ref="K12" authorId="2" shapeId="0">
      <text>
        <r>
          <rPr>
            <b/>
            <sz val="9"/>
            <color indexed="81"/>
            <rFont val="Tahoma"/>
            <family val="2"/>
          </rPr>
          <t>Oculto</t>
        </r>
      </text>
    </comment>
    <comment ref="L12" authorId="2" shapeId="0">
      <text>
        <r>
          <rPr>
            <b/>
            <sz val="9"/>
            <color indexed="81"/>
            <rFont val="Tahoma"/>
            <family val="2"/>
          </rPr>
          <t>Oculto</t>
        </r>
      </text>
    </comment>
    <comment ref="M12" authorId="2" shapeId="0">
      <text>
        <r>
          <rPr>
            <b/>
            <sz val="9"/>
            <color indexed="81"/>
            <rFont val="Tahoma"/>
            <family val="2"/>
          </rPr>
          <t>Oculto</t>
        </r>
      </text>
    </comment>
    <comment ref="O12" authorId="2" shapeId="0">
      <text>
        <r>
          <rPr>
            <b/>
            <sz val="9"/>
            <color indexed="81"/>
            <rFont val="Tahoma"/>
            <family val="2"/>
          </rPr>
          <t>Oculto</t>
        </r>
      </text>
    </comment>
    <comment ref="P12" authorId="2" shapeId="0">
      <text>
        <r>
          <rPr>
            <b/>
            <sz val="9"/>
            <color indexed="81"/>
            <rFont val="Tahoma"/>
            <family val="2"/>
          </rPr>
          <t>Oculto</t>
        </r>
      </text>
    </comment>
    <comment ref="R12" authorId="2" shapeId="0">
      <text>
        <r>
          <rPr>
            <b/>
            <sz val="9"/>
            <color indexed="81"/>
            <rFont val="Tahoma"/>
            <family val="2"/>
          </rPr>
          <t>Oculto</t>
        </r>
      </text>
    </comment>
    <comment ref="S12" authorId="2" shapeId="0">
      <text>
        <r>
          <rPr>
            <b/>
            <sz val="9"/>
            <color indexed="81"/>
            <rFont val="Tahoma"/>
            <family val="2"/>
          </rPr>
          <t>Oculto</t>
        </r>
      </text>
    </comment>
    <comment ref="T12" authorId="2" shapeId="0">
      <text>
        <r>
          <rPr>
            <b/>
            <sz val="9"/>
            <color indexed="81"/>
            <rFont val="Tahoma"/>
            <family val="2"/>
          </rPr>
          <t>Oculto</t>
        </r>
      </text>
    </comment>
    <comment ref="AG12" authorId="2" shapeId="0">
      <text>
        <r>
          <rPr>
            <b/>
            <sz val="9"/>
            <color indexed="81"/>
            <rFont val="Tahoma"/>
            <family val="2"/>
          </rPr>
          <t>Oculto</t>
        </r>
      </text>
    </comment>
    <comment ref="AK12" authorId="2" shapeId="0">
      <text>
        <r>
          <rPr>
            <b/>
            <sz val="9"/>
            <color indexed="81"/>
            <rFont val="Tahoma"/>
            <family val="2"/>
          </rPr>
          <t>Oculto</t>
        </r>
      </text>
    </comment>
    <comment ref="AL12" authorId="2" shapeId="0">
      <text>
        <r>
          <rPr>
            <b/>
            <sz val="9"/>
            <color indexed="81"/>
            <rFont val="Tahoma"/>
            <family val="2"/>
          </rPr>
          <t>Oculto</t>
        </r>
      </text>
    </comment>
    <comment ref="AN12" authorId="2" shapeId="0">
      <text>
        <r>
          <rPr>
            <b/>
            <sz val="9"/>
            <color indexed="81"/>
            <rFont val="Tahoma"/>
            <family val="2"/>
          </rPr>
          <t>Oculto</t>
        </r>
      </text>
    </comment>
    <comment ref="AO12" authorId="2" shapeId="0">
      <text>
        <r>
          <rPr>
            <b/>
            <sz val="9"/>
            <color indexed="81"/>
            <rFont val="Tahoma"/>
            <family val="2"/>
          </rPr>
          <t>Oculto</t>
        </r>
      </text>
    </comment>
    <comment ref="AP12" authorId="2" shapeId="0">
      <text>
        <r>
          <rPr>
            <b/>
            <sz val="9"/>
            <color indexed="81"/>
            <rFont val="Tahoma"/>
            <family val="2"/>
          </rPr>
          <t>Oculto</t>
        </r>
      </text>
    </comment>
    <comment ref="AQ12" authorId="2" shapeId="0">
      <text>
        <r>
          <rPr>
            <b/>
            <sz val="9"/>
            <color indexed="81"/>
            <rFont val="Tahoma"/>
            <family val="2"/>
          </rPr>
          <t>Oculto</t>
        </r>
      </text>
    </comment>
    <comment ref="AR12" authorId="2" shapeId="0">
      <text>
        <r>
          <rPr>
            <b/>
            <sz val="9"/>
            <color indexed="81"/>
            <rFont val="Tahoma"/>
            <family val="2"/>
          </rPr>
          <t>Oculto</t>
        </r>
      </text>
    </comment>
    <comment ref="BA12" authorId="2" shapeId="0">
      <text>
        <r>
          <rPr>
            <b/>
            <sz val="9"/>
            <color indexed="81"/>
            <rFont val="Tahoma"/>
            <family val="2"/>
          </rPr>
          <t>Oculto</t>
        </r>
      </text>
    </comment>
    <comment ref="BB12" authorId="2" shapeId="0">
      <text>
        <r>
          <rPr>
            <b/>
            <sz val="9"/>
            <color indexed="81"/>
            <rFont val="Tahoma"/>
            <family val="2"/>
          </rPr>
          <t>Oculto</t>
        </r>
      </text>
    </comment>
    <comment ref="BI12" authorId="2" shapeId="0">
      <text>
        <r>
          <rPr>
            <b/>
            <sz val="9"/>
            <color indexed="81"/>
            <rFont val="Tahoma"/>
            <family val="2"/>
          </rPr>
          <t>Oculto</t>
        </r>
      </text>
    </comment>
    <comment ref="BK12" authorId="2" shapeId="0">
      <text>
        <r>
          <rPr>
            <b/>
            <sz val="9"/>
            <color indexed="81"/>
            <rFont val="Tahoma"/>
            <family val="2"/>
          </rPr>
          <t>Oculto</t>
        </r>
      </text>
    </comment>
    <comment ref="BN12" authorId="2" shapeId="0">
      <text>
        <r>
          <rPr>
            <b/>
            <sz val="9"/>
            <color indexed="81"/>
            <rFont val="Tahoma"/>
            <family val="2"/>
          </rPr>
          <t>Oculto</t>
        </r>
      </text>
    </comment>
    <comment ref="BO12" authorId="2" shapeId="0">
      <text>
        <r>
          <rPr>
            <b/>
            <sz val="9"/>
            <color indexed="81"/>
            <rFont val="Tahoma"/>
            <family val="2"/>
          </rPr>
          <t>Oculto</t>
        </r>
      </text>
    </comment>
    <comment ref="BR12" authorId="2" shapeId="0">
      <text>
        <r>
          <rPr>
            <b/>
            <sz val="9"/>
            <color indexed="81"/>
            <rFont val="Tahoma"/>
            <family val="2"/>
          </rPr>
          <t>Oculto</t>
        </r>
      </text>
    </comment>
    <comment ref="BS12" authorId="2" shapeId="0">
      <text>
        <r>
          <rPr>
            <b/>
            <sz val="9"/>
            <color indexed="81"/>
            <rFont val="Tahoma"/>
            <family val="2"/>
          </rPr>
          <t>Oculto</t>
        </r>
      </text>
    </comment>
    <comment ref="E15" authorId="2" shapeId="0">
      <text>
        <r>
          <rPr>
            <b/>
            <sz val="9"/>
            <color indexed="81"/>
            <rFont val="Tahoma"/>
            <family val="2"/>
          </rPr>
          <t>Oculto</t>
        </r>
      </text>
    </comment>
    <comment ref="H15" authorId="2" shapeId="0">
      <text>
        <r>
          <rPr>
            <b/>
            <sz val="9"/>
            <color indexed="81"/>
            <rFont val="Tahoma"/>
            <family val="2"/>
          </rPr>
          <t>Oculto</t>
        </r>
      </text>
    </comment>
    <comment ref="J15" authorId="2" shapeId="0">
      <text>
        <r>
          <rPr>
            <b/>
            <sz val="9"/>
            <color indexed="81"/>
            <rFont val="Tahoma"/>
            <family val="2"/>
          </rPr>
          <t>Oculto</t>
        </r>
      </text>
    </comment>
    <comment ref="K15" authorId="2" shapeId="0">
      <text>
        <r>
          <rPr>
            <b/>
            <sz val="9"/>
            <color indexed="81"/>
            <rFont val="Tahoma"/>
            <family val="2"/>
          </rPr>
          <t>Oculto</t>
        </r>
      </text>
    </comment>
    <comment ref="M15" authorId="2" shapeId="0">
      <text>
        <r>
          <rPr>
            <b/>
            <sz val="9"/>
            <color indexed="81"/>
            <rFont val="Tahoma"/>
            <family val="2"/>
          </rPr>
          <t>Oculto</t>
        </r>
      </text>
    </comment>
    <comment ref="N15" authorId="2" shapeId="0">
      <text>
        <r>
          <rPr>
            <b/>
            <sz val="9"/>
            <color indexed="81"/>
            <rFont val="Tahoma"/>
            <family val="2"/>
          </rPr>
          <t>Oculto</t>
        </r>
      </text>
    </comment>
    <comment ref="U15" authorId="2" shapeId="0">
      <text>
        <r>
          <rPr>
            <b/>
            <sz val="9"/>
            <color indexed="81"/>
            <rFont val="Tahoma"/>
            <family val="2"/>
          </rPr>
          <t>Oculto</t>
        </r>
      </text>
    </comment>
    <comment ref="Y15" authorId="2" shapeId="0">
      <text>
        <r>
          <rPr>
            <b/>
            <sz val="9"/>
            <color indexed="81"/>
            <rFont val="Tahoma"/>
            <family val="2"/>
          </rPr>
          <t>Oculto</t>
        </r>
      </text>
    </comment>
    <comment ref="AD15" authorId="2" shapeId="0">
      <text>
        <r>
          <rPr>
            <b/>
            <sz val="9"/>
            <color indexed="81"/>
            <rFont val="Tahoma"/>
            <family val="2"/>
          </rPr>
          <t>Oculto</t>
        </r>
      </text>
    </comment>
    <comment ref="AE15" authorId="4" shapeId="0">
      <text>
        <r>
          <rPr>
            <b/>
            <sz val="9"/>
            <color indexed="81"/>
            <rFont val="Tahoma"/>
            <family val="2"/>
          </rPr>
          <t>Oculto</t>
        </r>
      </text>
    </comment>
    <comment ref="AG15" authorId="2" shapeId="0">
      <text>
        <r>
          <rPr>
            <b/>
            <sz val="9"/>
            <color indexed="81"/>
            <rFont val="Tahoma"/>
            <family val="2"/>
          </rPr>
          <t>Oculto</t>
        </r>
      </text>
    </comment>
    <comment ref="AH15" authorId="2" shapeId="0">
      <text>
        <r>
          <rPr>
            <b/>
            <sz val="9"/>
            <color indexed="81"/>
            <rFont val="Tahoma"/>
            <family val="2"/>
          </rPr>
          <t>Oculto</t>
        </r>
      </text>
    </comment>
    <comment ref="AI15" authorId="2" shapeId="0">
      <text>
        <r>
          <rPr>
            <b/>
            <sz val="9"/>
            <color indexed="81"/>
            <rFont val="Tahoma"/>
            <family val="2"/>
          </rPr>
          <t>Oculto</t>
        </r>
      </text>
    </comment>
    <comment ref="AJ15" authorId="4" shapeId="0">
      <text>
        <r>
          <rPr>
            <b/>
            <sz val="9"/>
            <color indexed="81"/>
            <rFont val="Tahoma"/>
            <family val="2"/>
          </rPr>
          <t>Oculto</t>
        </r>
      </text>
    </comment>
    <comment ref="AK15" authorId="2" shapeId="0">
      <text>
        <r>
          <rPr>
            <b/>
            <sz val="9"/>
            <color indexed="81"/>
            <rFont val="Tahoma"/>
            <family val="2"/>
          </rPr>
          <t>Oculto</t>
        </r>
      </text>
    </comment>
    <comment ref="AL15" authorId="2" shapeId="0">
      <text>
        <r>
          <rPr>
            <b/>
            <sz val="9"/>
            <color indexed="81"/>
            <rFont val="Tahoma"/>
            <family val="2"/>
          </rPr>
          <t>Oculto</t>
        </r>
      </text>
    </comment>
    <comment ref="AN15" authorId="2" shapeId="0">
      <text>
        <r>
          <rPr>
            <b/>
            <sz val="9"/>
            <color indexed="81"/>
            <rFont val="Tahoma"/>
            <family val="2"/>
          </rPr>
          <t>Oculto</t>
        </r>
      </text>
    </comment>
    <comment ref="AO15" authorId="2" shapeId="0">
      <text>
        <r>
          <rPr>
            <b/>
            <sz val="9"/>
            <color indexed="81"/>
            <rFont val="Tahoma"/>
            <family val="2"/>
          </rPr>
          <t>Oculto</t>
        </r>
      </text>
    </comment>
    <comment ref="AP15" authorId="2" shapeId="0">
      <text>
        <r>
          <rPr>
            <b/>
            <sz val="9"/>
            <color indexed="81"/>
            <rFont val="Tahoma"/>
            <family val="2"/>
          </rPr>
          <t>Oculto</t>
        </r>
      </text>
    </comment>
    <comment ref="AQ15" authorId="2" shapeId="0">
      <text>
        <r>
          <rPr>
            <b/>
            <sz val="9"/>
            <color indexed="81"/>
            <rFont val="Tahoma"/>
            <family val="2"/>
          </rPr>
          <t>Oculto</t>
        </r>
      </text>
    </comment>
    <comment ref="AR15" authorId="2" shapeId="0">
      <text>
        <r>
          <rPr>
            <b/>
            <sz val="9"/>
            <color indexed="81"/>
            <rFont val="Tahoma"/>
            <family val="2"/>
          </rPr>
          <t>Oculto</t>
        </r>
      </text>
    </comment>
    <comment ref="AW15" authorId="2" shapeId="0">
      <text>
        <r>
          <rPr>
            <b/>
            <sz val="9"/>
            <color indexed="81"/>
            <rFont val="Tahoma"/>
            <family val="2"/>
          </rPr>
          <t>Oculto</t>
        </r>
      </text>
    </comment>
    <comment ref="AX15" authorId="2" shapeId="0">
      <text>
        <r>
          <rPr>
            <b/>
            <sz val="9"/>
            <color indexed="81"/>
            <rFont val="Tahoma"/>
            <family val="2"/>
          </rPr>
          <t>Oculto</t>
        </r>
      </text>
    </comment>
    <comment ref="AY15" authorId="2" shapeId="0">
      <text>
        <r>
          <rPr>
            <b/>
            <sz val="9"/>
            <color indexed="81"/>
            <rFont val="Tahoma"/>
            <family val="2"/>
          </rPr>
          <t>Oculto</t>
        </r>
      </text>
    </comment>
    <comment ref="AZ15" authorId="2" shapeId="0">
      <text>
        <r>
          <rPr>
            <b/>
            <sz val="9"/>
            <color indexed="81"/>
            <rFont val="Tahoma"/>
            <family val="2"/>
          </rPr>
          <t>Oculto</t>
        </r>
      </text>
    </comment>
    <comment ref="BA15" authorId="2" shapeId="0">
      <text>
        <r>
          <rPr>
            <b/>
            <sz val="9"/>
            <color indexed="81"/>
            <rFont val="Tahoma"/>
            <family val="2"/>
          </rPr>
          <t>Oculto</t>
        </r>
      </text>
    </comment>
    <comment ref="BB15" authorId="2" shapeId="0">
      <text>
        <r>
          <rPr>
            <b/>
            <sz val="9"/>
            <color indexed="81"/>
            <rFont val="Tahoma"/>
            <family val="2"/>
          </rPr>
          <t>Oculto</t>
        </r>
      </text>
    </comment>
    <comment ref="BK15" authorId="2" shapeId="0">
      <text>
        <r>
          <rPr>
            <b/>
            <sz val="9"/>
            <color indexed="81"/>
            <rFont val="Tahoma"/>
            <family val="2"/>
          </rPr>
          <t>Oculto</t>
        </r>
      </text>
    </comment>
    <comment ref="BR15" authorId="2" shapeId="0">
      <text>
        <r>
          <rPr>
            <b/>
            <sz val="9"/>
            <color indexed="81"/>
            <rFont val="Tahoma"/>
            <family val="2"/>
          </rPr>
          <t>Oculto</t>
        </r>
      </text>
    </comment>
    <comment ref="BS15" authorId="2" shapeId="0">
      <text>
        <r>
          <rPr>
            <b/>
            <sz val="9"/>
            <color indexed="81"/>
            <rFont val="Tahoma"/>
            <family val="2"/>
          </rPr>
          <t>Oculto</t>
        </r>
      </text>
    </comment>
    <comment ref="E16" authorId="2" shapeId="0">
      <text>
        <r>
          <rPr>
            <b/>
            <sz val="9"/>
            <color indexed="81"/>
            <rFont val="Tahoma"/>
            <family val="2"/>
          </rPr>
          <t>Oculto</t>
        </r>
      </text>
    </comment>
    <comment ref="H16" authorId="2" shapeId="0">
      <text>
        <r>
          <rPr>
            <b/>
            <sz val="9"/>
            <color indexed="81"/>
            <rFont val="Tahoma"/>
            <family val="2"/>
          </rPr>
          <t>Oculto</t>
        </r>
      </text>
    </comment>
    <comment ref="J16" authorId="2" shapeId="0">
      <text>
        <r>
          <rPr>
            <b/>
            <sz val="9"/>
            <color indexed="81"/>
            <rFont val="Tahoma"/>
            <family val="2"/>
          </rPr>
          <t>Oculto</t>
        </r>
      </text>
    </comment>
    <comment ref="K16" authorId="2" shapeId="0">
      <text>
        <r>
          <rPr>
            <b/>
            <sz val="9"/>
            <color indexed="81"/>
            <rFont val="Tahoma"/>
            <family val="2"/>
          </rPr>
          <t>Oculto</t>
        </r>
      </text>
    </comment>
    <comment ref="M16" authorId="2" shapeId="0">
      <text>
        <r>
          <rPr>
            <b/>
            <sz val="9"/>
            <color indexed="81"/>
            <rFont val="Tahoma"/>
            <family val="2"/>
          </rPr>
          <t>Oculto</t>
        </r>
      </text>
    </comment>
    <comment ref="N16" authorId="2" shapeId="0">
      <text>
        <r>
          <rPr>
            <b/>
            <sz val="9"/>
            <color indexed="81"/>
            <rFont val="Tahoma"/>
            <family val="2"/>
          </rPr>
          <t>Oculto</t>
        </r>
      </text>
    </comment>
    <comment ref="U16" authorId="2" shapeId="0">
      <text>
        <r>
          <rPr>
            <b/>
            <sz val="9"/>
            <color indexed="81"/>
            <rFont val="Tahoma"/>
            <family val="2"/>
          </rPr>
          <t>Oculto</t>
        </r>
      </text>
    </comment>
    <comment ref="Y16" authorId="2" shapeId="0">
      <text>
        <r>
          <rPr>
            <b/>
            <sz val="9"/>
            <color indexed="81"/>
            <rFont val="Tahoma"/>
            <family val="2"/>
          </rPr>
          <t>Oculto</t>
        </r>
      </text>
    </comment>
    <comment ref="AD16" authorId="2" shapeId="0">
      <text>
        <r>
          <rPr>
            <b/>
            <sz val="9"/>
            <color indexed="81"/>
            <rFont val="Tahoma"/>
            <family val="2"/>
          </rPr>
          <t>Oculto</t>
        </r>
      </text>
    </comment>
    <comment ref="AE16" authorId="4" shapeId="0">
      <text>
        <r>
          <rPr>
            <b/>
            <sz val="9"/>
            <color indexed="81"/>
            <rFont val="Tahoma"/>
            <family val="2"/>
          </rPr>
          <t>Oculto</t>
        </r>
      </text>
    </comment>
    <comment ref="AG16" authorId="2" shapeId="0">
      <text>
        <r>
          <rPr>
            <b/>
            <sz val="9"/>
            <color indexed="81"/>
            <rFont val="Tahoma"/>
            <family val="2"/>
          </rPr>
          <t>Oculto</t>
        </r>
      </text>
    </comment>
    <comment ref="AH16" authorId="2" shapeId="0">
      <text>
        <r>
          <rPr>
            <b/>
            <sz val="9"/>
            <color indexed="81"/>
            <rFont val="Tahoma"/>
            <family val="2"/>
          </rPr>
          <t>Oculto</t>
        </r>
      </text>
    </comment>
    <comment ref="AI16" authorId="2" shapeId="0">
      <text>
        <r>
          <rPr>
            <b/>
            <sz val="9"/>
            <color indexed="81"/>
            <rFont val="Tahoma"/>
            <family val="2"/>
          </rPr>
          <t>Oculto</t>
        </r>
      </text>
    </comment>
    <comment ref="AJ16" authorId="4" shapeId="0">
      <text>
        <r>
          <rPr>
            <b/>
            <sz val="9"/>
            <color indexed="81"/>
            <rFont val="Tahoma"/>
            <family val="2"/>
          </rPr>
          <t>Oculto</t>
        </r>
      </text>
    </comment>
    <comment ref="AK16" authorId="2" shapeId="0">
      <text>
        <r>
          <rPr>
            <b/>
            <sz val="9"/>
            <color indexed="81"/>
            <rFont val="Tahoma"/>
            <family val="2"/>
          </rPr>
          <t>Oculto</t>
        </r>
      </text>
    </comment>
    <comment ref="AL16" authorId="2" shapeId="0">
      <text>
        <r>
          <rPr>
            <b/>
            <sz val="9"/>
            <color indexed="81"/>
            <rFont val="Tahoma"/>
            <family val="2"/>
          </rPr>
          <t>Oculto</t>
        </r>
      </text>
    </comment>
    <comment ref="AN16" authorId="2" shapeId="0">
      <text>
        <r>
          <rPr>
            <b/>
            <sz val="9"/>
            <color indexed="81"/>
            <rFont val="Tahoma"/>
            <family val="2"/>
          </rPr>
          <t>Oculto</t>
        </r>
      </text>
    </comment>
    <comment ref="AO16" authorId="2" shapeId="0">
      <text>
        <r>
          <rPr>
            <b/>
            <sz val="9"/>
            <color indexed="81"/>
            <rFont val="Tahoma"/>
            <family val="2"/>
          </rPr>
          <t>Oculto</t>
        </r>
      </text>
    </comment>
    <comment ref="AP16" authorId="2" shapeId="0">
      <text>
        <r>
          <rPr>
            <b/>
            <sz val="9"/>
            <color indexed="81"/>
            <rFont val="Tahoma"/>
            <family val="2"/>
          </rPr>
          <t>Oculto</t>
        </r>
      </text>
    </comment>
    <comment ref="AQ16" authorId="2" shapeId="0">
      <text>
        <r>
          <rPr>
            <b/>
            <sz val="9"/>
            <color indexed="81"/>
            <rFont val="Tahoma"/>
            <family val="2"/>
          </rPr>
          <t>Oculto</t>
        </r>
      </text>
    </comment>
    <comment ref="AR16" authorId="2" shapeId="0">
      <text>
        <r>
          <rPr>
            <b/>
            <sz val="9"/>
            <color indexed="81"/>
            <rFont val="Tahoma"/>
            <family val="2"/>
          </rPr>
          <t>Oculto</t>
        </r>
      </text>
    </comment>
    <comment ref="AW16" authorId="2" shapeId="0">
      <text>
        <r>
          <rPr>
            <b/>
            <sz val="9"/>
            <color indexed="81"/>
            <rFont val="Tahoma"/>
            <family val="2"/>
          </rPr>
          <t>Oculto</t>
        </r>
      </text>
    </comment>
    <comment ref="AX16" authorId="2" shapeId="0">
      <text>
        <r>
          <rPr>
            <b/>
            <sz val="9"/>
            <color indexed="81"/>
            <rFont val="Tahoma"/>
            <family val="2"/>
          </rPr>
          <t>Oculto</t>
        </r>
      </text>
    </comment>
    <comment ref="AY16" authorId="2" shapeId="0">
      <text>
        <r>
          <rPr>
            <b/>
            <sz val="9"/>
            <color indexed="81"/>
            <rFont val="Tahoma"/>
            <family val="2"/>
          </rPr>
          <t>Oculto</t>
        </r>
      </text>
    </comment>
    <comment ref="AZ16" authorId="2" shapeId="0">
      <text>
        <r>
          <rPr>
            <b/>
            <sz val="9"/>
            <color indexed="81"/>
            <rFont val="Tahoma"/>
            <family val="2"/>
          </rPr>
          <t>Oculto</t>
        </r>
      </text>
    </comment>
    <comment ref="BA16" authorId="2" shapeId="0">
      <text>
        <r>
          <rPr>
            <b/>
            <sz val="9"/>
            <color indexed="81"/>
            <rFont val="Tahoma"/>
            <family val="2"/>
          </rPr>
          <t>Oculto</t>
        </r>
      </text>
    </comment>
    <comment ref="BB16" authorId="2" shapeId="0">
      <text>
        <r>
          <rPr>
            <b/>
            <sz val="9"/>
            <color indexed="81"/>
            <rFont val="Tahoma"/>
            <family val="2"/>
          </rPr>
          <t>Oculto</t>
        </r>
      </text>
    </comment>
    <comment ref="BK16" authorId="2" shapeId="0">
      <text>
        <r>
          <rPr>
            <b/>
            <sz val="9"/>
            <color indexed="81"/>
            <rFont val="Tahoma"/>
            <family val="2"/>
          </rPr>
          <t>Oculto</t>
        </r>
      </text>
    </comment>
    <comment ref="BR16" authorId="2" shapeId="0">
      <text>
        <r>
          <rPr>
            <b/>
            <sz val="9"/>
            <color indexed="81"/>
            <rFont val="Tahoma"/>
            <family val="2"/>
          </rPr>
          <t>Oculto</t>
        </r>
      </text>
    </comment>
    <comment ref="BS16" authorId="2" shapeId="0">
      <text>
        <r>
          <rPr>
            <b/>
            <sz val="9"/>
            <color indexed="81"/>
            <rFont val="Tahoma"/>
            <family val="2"/>
          </rPr>
          <t>Oculto</t>
        </r>
      </text>
    </comment>
    <comment ref="E17" authorId="2" shapeId="0">
      <text>
        <r>
          <rPr>
            <b/>
            <sz val="9"/>
            <color indexed="81"/>
            <rFont val="Tahoma"/>
            <family val="2"/>
          </rPr>
          <t>Oculto</t>
        </r>
      </text>
    </comment>
    <comment ref="H17" authorId="2" shapeId="0">
      <text>
        <r>
          <rPr>
            <b/>
            <sz val="9"/>
            <color indexed="81"/>
            <rFont val="Tahoma"/>
            <family val="2"/>
          </rPr>
          <t>Oculto</t>
        </r>
      </text>
    </comment>
    <comment ref="J17" authorId="2" shapeId="0">
      <text>
        <r>
          <rPr>
            <b/>
            <sz val="9"/>
            <color indexed="81"/>
            <rFont val="Tahoma"/>
            <family val="2"/>
          </rPr>
          <t>Oculto</t>
        </r>
      </text>
    </comment>
    <comment ref="K17" authorId="2" shapeId="0">
      <text>
        <r>
          <rPr>
            <b/>
            <sz val="9"/>
            <color indexed="81"/>
            <rFont val="Tahoma"/>
            <family val="2"/>
          </rPr>
          <t>Oculto</t>
        </r>
      </text>
    </comment>
    <comment ref="M17" authorId="2" shapeId="0">
      <text>
        <r>
          <rPr>
            <b/>
            <sz val="9"/>
            <color indexed="81"/>
            <rFont val="Tahoma"/>
            <family val="2"/>
          </rPr>
          <t>Oculto</t>
        </r>
      </text>
    </comment>
    <comment ref="N17" authorId="2" shapeId="0">
      <text>
        <r>
          <rPr>
            <b/>
            <sz val="9"/>
            <color indexed="81"/>
            <rFont val="Tahoma"/>
            <family val="2"/>
          </rPr>
          <t>Oculto</t>
        </r>
      </text>
    </comment>
    <comment ref="O17" authorId="2" shapeId="0">
      <text>
        <r>
          <rPr>
            <b/>
            <sz val="9"/>
            <color indexed="81"/>
            <rFont val="Tahoma"/>
            <family val="2"/>
          </rPr>
          <t>Oculto</t>
        </r>
      </text>
    </comment>
    <comment ref="P17" authorId="2" shapeId="0">
      <text>
        <r>
          <rPr>
            <b/>
            <sz val="9"/>
            <color indexed="81"/>
            <rFont val="Tahoma"/>
            <family val="2"/>
          </rPr>
          <t>Oculto</t>
        </r>
      </text>
    </comment>
    <comment ref="S17" authorId="2" shapeId="0">
      <text>
        <r>
          <rPr>
            <b/>
            <sz val="9"/>
            <color indexed="81"/>
            <rFont val="Tahoma"/>
            <family val="2"/>
          </rPr>
          <t>Oculto</t>
        </r>
      </text>
    </comment>
    <comment ref="T17" authorId="2" shapeId="0">
      <text>
        <r>
          <rPr>
            <b/>
            <sz val="9"/>
            <color indexed="81"/>
            <rFont val="Tahoma"/>
            <family val="2"/>
          </rPr>
          <t>Oculto</t>
        </r>
      </text>
    </comment>
    <comment ref="U17" authorId="2" shapeId="0">
      <text>
        <r>
          <rPr>
            <b/>
            <sz val="9"/>
            <color indexed="81"/>
            <rFont val="Tahoma"/>
            <family val="2"/>
          </rPr>
          <t>Oculto</t>
        </r>
      </text>
    </comment>
    <comment ref="Y17" authorId="2" shapeId="0">
      <text>
        <r>
          <rPr>
            <b/>
            <sz val="9"/>
            <color indexed="81"/>
            <rFont val="Tahoma"/>
            <family val="2"/>
          </rPr>
          <t>Oculto</t>
        </r>
      </text>
    </comment>
    <comment ref="AD17" authorId="2" shapeId="0">
      <text>
        <r>
          <rPr>
            <b/>
            <sz val="9"/>
            <color indexed="81"/>
            <rFont val="Tahoma"/>
            <family val="2"/>
          </rPr>
          <t>Oculto</t>
        </r>
      </text>
    </comment>
    <comment ref="AE17" authorId="4" shapeId="0">
      <text>
        <r>
          <rPr>
            <b/>
            <sz val="9"/>
            <color indexed="81"/>
            <rFont val="Tahoma"/>
            <family val="2"/>
          </rPr>
          <t>Oculto</t>
        </r>
      </text>
    </comment>
    <comment ref="AG17" authorId="2" shapeId="0">
      <text>
        <r>
          <rPr>
            <b/>
            <sz val="9"/>
            <color indexed="81"/>
            <rFont val="Tahoma"/>
            <family val="2"/>
          </rPr>
          <t>Oculto</t>
        </r>
      </text>
    </comment>
    <comment ref="AH17" authorId="2" shapeId="0">
      <text>
        <r>
          <rPr>
            <b/>
            <sz val="9"/>
            <color indexed="81"/>
            <rFont val="Tahoma"/>
            <family val="2"/>
          </rPr>
          <t>Oculto</t>
        </r>
      </text>
    </comment>
    <comment ref="AI17" authorId="2" shapeId="0">
      <text>
        <r>
          <rPr>
            <b/>
            <sz val="9"/>
            <color indexed="81"/>
            <rFont val="Tahoma"/>
            <family val="2"/>
          </rPr>
          <t>Oculto</t>
        </r>
      </text>
    </comment>
    <comment ref="AJ17" authorId="4" shapeId="0">
      <text>
        <r>
          <rPr>
            <b/>
            <sz val="9"/>
            <color indexed="81"/>
            <rFont val="Tahoma"/>
            <family val="2"/>
          </rPr>
          <t>Oculto</t>
        </r>
      </text>
    </comment>
    <comment ref="AK17" authorId="2" shapeId="0">
      <text>
        <r>
          <rPr>
            <b/>
            <sz val="9"/>
            <color indexed="81"/>
            <rFont val="Tahoma"/>
            <family val="2"/>
          </rPr>
          <t>Oculto</t>
        </r>
      </text>
    </comment>
    <comment ref="AL17" authorId="2" shapeId="0">
      <text>
        <r>
          <rPr>
            <b/>
            <sz val="9"/>
            <color indexed="81"/>
            <rFont val="Tahoma"/>
            <family val="2"/>
          </rPr>
          <t>Oculto</t>
        </r>
      </text>
    </comment>
    <comment ref="AN17" authorId="2" shapeId="0">
      <text>
        <r>
          <rPr>
            <b/>
            <sz val="9"/>
            <color indexed="81"/>
            <rFont val="Tahoma"/>
            <family val="2"/>
          </rPr>
          <t>Oculto</t>
        </r>
      </text>
    </comment>
    <comment ref="AO17" authorId="2" shapeId="0">
      <text>
        <r>
          <rPr>
            <b/>
            <sz val="9"/>
            <color indexed="81"/>
            <rFont val="Tahoma"/>
            <family val="2"/>
          </rPr>
          <t>Oculto</t>
        </r>
      </text>
    </comment>
    <comment ref="AP17" authorId="2" shapeId="0">
      <text>
        <r>
          <rPr>
            <b/>
            <sz val="9"/>
            <color indexed="81"/>
            <rFont val="Tahoma"/>
            <family val="2"/>
          </rPr>
          <t>Oculto</t>
        </r>
      </text>
    </comment>
    <comment ref="AQ17" authorId="2" shapeId="0">
      <text>
        <r>
          <rPr>
            <b/>
            <sz val="9"/>
            <color indexed="81"/>
            <rFont val="Tahoma"/>
            <family val="2"/>
          </rPr>
          <t>Oculto</t>
        </r>
      </text>
    </comment>
    <comment ref="AR17" authorId="2" shapeId="0">
      <text>
        <r>
          <rPr>
            <b/>
            <sz val="9"/>
            <color indexed="81"/>
            <rFont val="Tahoma"/>
            <family val="2"/>
          </rPr>
          <t>Oculto</t>
        </r>
      </text>
    </comment>
    <comment ref="AW17" authorId="2" shapeId="0">
      <text>
        <r>
          <rPr>
            <b/>
            <sz val="9"/>
            <color indexed="81"/>
            <rFont val="Tahoma"/>
            <family val="2"/>
          </rPr>
          <t>Oculto</t>
        </r>
      </text>
    </comment>
    <comment ref="AX17" authorId="2" shapeId="0">
      <text>
        <r>
          <rPr>
            <b/>
            <sz val="9"/>
            <color indexed="81"/>
            <rFont val="Tahoma"/>
            <family val="2"/>
          </rPr>
          <t>Oculto</t>
        </r>
      </text>
    </comment>
    <comment ref="AY17" authorId="2" shapeId="0">
      <text>
        <r>
          <rPr>
            <b/>
            <sz val="9"/>
            <color indexed="81"/>
            <rFont val="Tahoma"/>
            <family val="2"/>
          </rPr>
          <t>Oculto</t>
        </r>
      </text>
    </comment>
    <comment ref="AZ17" authorId="2" shapeId="0">
      <text>
        <r>
          <rPr>
            <b/>
            <sz val="9"/>
            <color indexed="81"/>
            <rFont val="Tahoma"/>
            <family val="2"/>
          </rPr>
          <t>Oculto</t>
        </r>
      </text>
    </comment>
    <comment ref="BA17" authorId="2" shapeId="0">
      <text>
        <r>
          <rPr>
            <b/>
            <sz val="9"/>
            <color indexed="81"/>
            <rFont val="Tahoma"/>
            <family val="2"/>
          </rPr>
          <t>Oculto</t>
        </r>
      </text>
    </comment>
    <comment ref="BB17" authorId="2" shapeId="0">
      <text>
        <r>
          <rPr>
            <b/>
            <sz val="9"/>
            <color indexed="81"/>
            <rFont val="Tahoma"/>
            <family val="2"/>
          </rPr>
          <t>Oculto</t>
        </r>
      </text>
    </comment>
    <comment ref="BK17" authorId="2" shapeId="0">
      <text>
        <r>
          <rPr>
            <b/>
            <sz val="9"/>
            <color indexed="81"/>
            <rFont val="Tahoma"/>
            <family val="2"/>
          </rPr>
          <t>Oculto</t>
        </r>
      </text>
    </comment>
    <comment ref="BR17" authorId="2" shapeId="0">
      <text>
        <r>
          <rPr>
            <b/>
            <sz val="9"/>
            <color indexed="81"/>
            <rFont val="Tahoma"/>
            <family val="2"/>
          </rPr>
          <t>Oculto</t>
        </r>
      </text>
    </comment>
    <comment ref="BS17" authorId="2" shapeId="0">
      <text>
        <r>
          <rPr>
            <b/>
            <sz val="9"/>
            <color indexed="81"/>
            <rFont val="Tahoma"/>
            <family val="2"/>
          </rPr>
          <t>Oculto</t>
        </r>
      </text>
    </comment>
    <comment ref="E18" authorId="2" shapeId="0">
      <text>
        <r>
          <rPr>
            <b/>
            <sz val="9"/>
            <color indexed="81"/>
            <rFont val="Tahoma"/>
            <family val="2"/>
          </rPr>
          <t>Oculto</t>
        </r>
      </text>
    </comment>
    <comment ref="H18" authorId="2" shapeId="0">
      <text>
        <r>
          <rPr>
            <b/>
            <sz val="9"/>
            <color indexed="81"/>
            <rFont val="Tahoma"/>
            <family val="2"/>
          </rPr>
          <t>Oculto</t>
        </r>
      </text>
    </comment>
    <comment ref="J18" authorId="2" shapeId="0">
      <text>
        <r>
          <rPr>
            <b/>
            <sz val="9"/>
            <color indexed="81"/>
            <rFont val="Tahoma"/>
            <family val="2"/>
          </rPr>
          <t>Oculto</t>
        </r>
      </text>
    </comment>
    <comment ref="K18" authorId="2" shapeId="0">
      <text>
        <r>
          <rPr>
            <b/>
            <sz val="9"/>
            <color indexed="81"/>
            <rFont val="Tahoma"/>
            <family val="2"/>
          </rPr>
          <t>Oculto</t>
        </r>
      </text>
    </comment>
    <comment ref="M18" authorId="2" shapeId="0">
      <text>
        <r>
          <rPr>
            <b/>
            <sz val="9"/>
            <color indexed="81"/>
            <rFont val="Tahoma"/>
            <family val="2"/>
          </rPr>
          <t>Oculto</t>
        </r>
      </text>
    </comment>
    <comment ref="N18" authorId="2" shapeId="0">
      <text>
        <r>
          <rPr>
            <b/>
            <sz val="9"/>
            <color indexed="81"/>
            <rFont val="Tahoma"/>
            <family val="2"/>
          </rPr>
          <t>Oculto</t>
        </r>
      </text>
    </comment>
    <comment ref="U18" authorId="2" shapeId="0">
      <text>
        <r>
          <rPr>
            <b/>
            <sz val="9"/>
            <color indexed="81"/>
            <rFont val="Tahoma"/>
            <family val="2"/>
          </rPr>
          <t>Oculto</t>
        </r>
      </text>
    </comment>
    <comment ref="Y18" authorId="2" shapeId="0">
      <text>
        <r>
          <rPr>
            <b/>
            <sz val="9"/>
            <color indexed="81"/>
            <rFont val="Tahoma"/>
            <family val="2"/>
          </rPr>
          <t>Oculto</t>
        </r>
      </text>
    </comment>
    <comment ref="AD18" authorId="2" shapeId="0">
      <text>
        <r>
          <rPr>
            <b/>
            <sz val="9"/>
            <color indexed="81"/>
            <rFont val="Tahoma"/>
            <family val="2"/>
          </rPr>
          <t>Oculto</t>
        </r>
      </text>
    </comment>
    <comment ref="AE18" authorId="4" shapeId="0">
      <text>
        <r>
          <rPr>
            <b/>
            <sz val="9"/>
            <color indexed="81"/>
            <rFont val="Tahoma"/>
            <family val="2"/>
          </rPr>
          <t>Oculto</t>
        </r>
      </text>
    </comment>
    <comment ref="AG18" authorId="2" shapeId="0">
      <text>
        <r>
          <rPr>
            <b/>
            <sz val="9"/>
            <color indexed="81"/>
            <rFont val="Tahoma"/>
            <family val="2"/>
          </rPr>
          <t>Oculto</t>
        </r>
      </text>
    </comment>
    <comment ref="AH18" authorId="2" shapeId="0">
      <text>
        <r>
          <rPr>
            <b/>
            <sz val="9"/>
            <color indexed="81"/>
            <rFont val="Tahoma"/>
            <family val="2"/>
          </rPr>
          <t>Oculto</t>
        </r>
      </text>
    </comment>
    <comment ref="AI18" authorId="2" shapeId="0">
      <text>
        <r>
          <rPr>
            <b/>
            <sz val="9"/>
            <color indexed="81"/>
            <rFont val="Tahoma"/>
            <family val="2"/>
          </rPr>
          <t>Oculto</t>
        </r>
      </text>
    </comment>
    <comment ref="AJ18" authorId="4" shapeId="0">
      <text>
        <r>
          <rPr>
            <b/>
            <sz val="9"/>
            <color indexed="81"/>
            <rFont val="Tahoma"/>
            <family val="2"/>
          </rPr>
          <t>Oculto</t>
        </r>
      </text>
    </comment>
    <comment ref="AK18" authorId="2" shapeId="0">
      <text>
        <r>
          <rPr>
            <b/>
            <sz val="9"/>
            <color indexed="81"/>
            <rFont val="Tahoma"/>
            <family val="2"/>
          </rPr>
          <t>Oculto</t>
        </r>
      </text>
    </comment>
    <comment ref="AL18" authorId="2" shapeId="0">
      <text>
        <r>
          <rPr>
            <b/>
            <sz val="9"/>
            <color indexed="81"/>
            <rFont val="Tahoma"/>
            <family val="2"/>
          </rPr>
          <t>Oculto</t>
        </r>
      </text>
    </comment>
    <comment ref="AN18" authorId="2" shapeId="0">
      <text>
        <r>
          <rPr>
            <b/>
            <sz val="9"/>
            <color indexed="81"/>
            <rFont val="Tahoma"/>
            <family val="2"/>
          </rPr>
          <t>Oculto</t>
        </r>
      </text>
    </comment>
    <comment ref="AO18" authorId="2" shapeId="0">
      <text>
        <r>
          <rPr>
            <b/>
            <sz val="9"/>
            <color indexed="81"/>
            <rFont val="Tahoma"/>
            <family val="2"/>
          </rPr>
          <t>Oculto</t>
        </r>
      </text>
    </comment>
    <comment ref="AP18" authorId="2" shapeId="0">
      <text>
        <r>
          <rPr>
            <b/>
            <sz val="9"/>
            <color indexed="81"/>
            <rFont val="Tahoma"/>
            <family val="2"/>
          </rPr>
          <t>Oculto</t>
        </r>
      </text>
    </comment>
    <comment ref="AQ18" authorId="2" shapeId="0">
      <text>
        <r>
          <rPr>
            <b/>
            <sz val="9"/>
            <color indexed="81"/>
            <rFont val="Tahoma"/>
            <family val="2"/>
          </rPr>
          <t>Oculto</t>
        </r>
      </text>
    </comment>
    <comment ref="AR18" authorId="2" shapeId="0">
      <text>
        <r>
          <rPr>
            <b/>
            <sz val="9"/>
            <color indexed="81"/>
            <rFont val="Tahoma"/>
            <family val="2"/>
          </rPr>
          <t>Oculto</t>
        </r>
      </text>
    </comment>
    <comment ref="AW18" authorId="2" shapeId="0">
      <text>
        <r>
          <rPr>
            <b/>
            <sz val="9"/>
            <color indexed="81"/>
            <rFont val="Tahoma"/>
            <family val="2"/>
          </rPr>
          <t>Oculto</t>
        </r>
      </text>
    </comment>
    <comment ref="AX18" authorId="2" shapeId="0">
      <text>
        <r>
          <rPr>
            <b/>
            <sz val="9"/>
            <color indexed="81"/>
            <rFont val="Tahoma"/>
            <family val="2"/>
          </rPr>
          <t>Oculto</t>
        </r>
      </text>
    </comment>
    <comment ref="AY18" authorId="2" shapeId="0">
      <text>
        <r>
          <rPr>
            <b/>
            <sz val="9"/>
            <color indexed="81"/>
            <rFont val="Tahoma"/>
            <family val="2"/>
          </rPr>
          <t>Oculto</t>
        </r>
      </text>
    </comment>
    <comment ref="AZ18" authorId="2" shapeId="0">
      <text>
        <r>
          <rPr>
            <b/>
            <sz val="9"/>
            <color indexed="81"/>
            <rFont val="Tahoma"/>
            <family val="2"/>
          </rPr>
          <t>Oculto</t>
        </r>
      </text>
    </comment>
    <comment ref="BA18" authorId="2" shapeId="0">
      <text>
        <r>
          <rPr>
            <b/>
            <sz val="9"/>
            <color indexed="81"/>
            <rFont val="Tahoma"/>
            <family val="2"/>
          </rPr>
          <t>Oculto</t>
        </r>
      </text>
    </comment>
    <comment ref="BB18" authorId="2" shapeId="0">
      <text>
        <r>
          <rPr>
            <b/>
            <sz val="9"/>
            <color indexed="81"/>
            <rFont val="Tahoma"/>
            <family val="2"/>
          </rPr>
          <t>Oculto</t>
        </r>
      </text>
    </comment>
    <comment ref="BK18" authorId="2" shapeId="0">
      <text>
        <r>
          <rPr>
            <b/>
            <sz val="9"/>
            <color indexed="81"/>
            <rFont val="Tahoma"/>
            <family val="2"/>
          </rPr>
          <t>Oculto</t>
        </r>
      </text>
    </comment>
    <comment ref="BR18" authorId="2" shapeId="0">
      <text>
        <r>
          <rPr>
            <b/>
            <sz val="9"/>
            <color indexed="81"/>
            <rFont val="Tahoma"/>
            <family val="2"/>
          </rPr>
          <t>Oculto</t>
        </r>
      </text>
    </comment>
    <comment ref="BS18" authorId="2" shapeId="0">
      <text>
        <r>
          <rPr>
            <b/>
            <sz val="9"/>
            <color indexed="81"/>
            <rFont val="Tahoma"/>
            <family val="2"/>
          </rPr>
          <t>Oculto</t>
        </r>
      </text>
    </comment>
  </commentList>
</comments>
</file>

<file path=xl/comments9.xml><?xml version="1.0" encoding="utf-8"?>
<comments xmlns="http://schemas.openxmlformats.org/spreadsheetml/2006/main">
  <authors>
    <author>Jose Manuel Hernandez Mayor</author>
    <author>Diez Rodriguez, Susana</author>
    <author>Hernandez Mayor, Jose Manuel</author>
  </authors>
  <commentList>
    <comment ref="I5" authorId="0" shapeId="0">
      <text>
        <r>
          <rPr>
            <b/>
            <sz val="9"/>
            <color indexed="81"/>
            <rFont val="Tahoma"/>
            <family val="2"/>
          </rPr>
          <t>R</t>
        </r>
      </text>
    </comment>
    <comment ref="X5" authorId="0" shapeId="0">
      <text>
        <r>
          <rPr>
            <b/>
            <sz val="9"/>
            <color indexed="81"/>
            <rFont val="Tahoma"/>
            <family val="2"/>
          </rPr>
          <t>R</t>
        </r>
      </text>
    </comment>
    <comment ref="Y5" authorId="0" shapeId="0">
      <text>
        <r>
          <rPr>
            <b/>
            <sz val="9"/>
            <color indexed="81"/>
            <rFont val="Tahoma"/>
            <family val="2"/>
          </rPr>
          <t>R</t>
        </r>
      </text>
    </comment>
    <comment ref="Z5" authorId="0" shapeId="0">
      <text>
        <r>
          <rPr>
            <b/>
            <sz val="9"/>
            <color indexed="81"/>
            <rFont val="Tahoma"/>
            <family val="2"/>
          </rPr>
          <t>R</t>
        </r>
      </text>
    </comment>
    <comment ref="AA5" authorId="0" shapeId="0">
      <text>
        <r>
          <rPr>
            <b/>
            <sz val="9"/>
            <color indexed="81"/>
            <rFont val="Tahoma"/>
            <family val="2"/>
          </rPr>
          <t>R</t>
        </r>
      </text>
    </comment>
    <comment ref="AB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N5" authorId="0" shapeId="0">
      <text>
        <r>
          <rPr>
            <b/>
            <sz val="9"/>
            <color indexed="81"/>
            <rFont val="Tahoma"/>
            <family val="2"/>
          </rPr>
          <t>R</t>
        </r>
      </text>
    </comment>
    <comment ref="AP5" authorId="0" shapeId="0">
      <text>
        <r>
          <rPr>
            <b/>
            <sz val="9"/>
            <color indexed="81"/>
            <rFont val="Tahoma"/>
            <family val="2"/>
          </rPr>
          <t>R</t>
        </r>
      </text>
    </comment>
    <comment ref="AR5" authorId="0" shapeId="0">
      <text>
        <r>
          <rPr>
            <b/>
            <sz val="9"/>
            <color indexed="81"/>
            <rFont val="Tahoma"/>
            <family val="2"/>
          </rPr>
          <t>R</t>
        </r>
      </text>
    </comment>
    <comment ref="AW5" authorId="0" shapeId="0">
      <text>
        <r>
          <rPr>
            <b/>
            <sz val="9"/>
            <color indexed="81"/>
            <rFont val="Tahoma"/>
            <family val="2"/>
          </rPr>
          <t>R</t>
        </r>
      </text>
    </comment>
    <comment ref="AX5" authorId="0" shapeId="0">
      <text>
        <r>
          <rPr>
            <b/>
            <sz val="9"/>
            <color indexed="81"/>
            <rFont val="Tahoma"/>
            <family val="2"/>
          </rPr>
          <t>R</t>
        </r>
      </text>
    </comment>
    <comment ref="BB5" authorId="0" shapeId="0">
      <text>
        <r>
          <rPr>
            <b/>
            <sz val="9"/>
            <color indexed="81"/>
            <rFont val="Tahoma"/>
            <family val="2"/>
          </rPr>
          <t>R</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N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AQ9" authorId="1" shapeId="0">
      <text>
        <r>
          <rPr>
            <b/>
            <sz val="9"/>
            <color indexed="81"/>
            <rFont val="Tahoma"/>
            <family val="2"/>
          </rPr>
          <t>Oculto</t>
        </r>
      </text>
    </comment>
    <comment ref="AU9" authorId="1" shapeId="0">
      <text>
        <r>
          <rPr>
            <b/>
            <sz val="9"/>
            <color indexed="81"/>
            <rFont val="Tahoma"/>
            <family val="2"/>
          </rPr>
          <t>Oculto</t>
        </r>
      </text>
    </comment>
    <comment ref="AV9" authorId="1" shapeId="0">
      <text>
        <r>
          <rPr>
            <b/>
            <sz val="9"/>
            <color indexed="81"/>
            <rFont val="Tahoma"/>
            <family val="2"/>
          </rPr>
          <t>Oculto</t>
        </r>
      </text>
    </comment>
    <comment ref="AY9" authorId="1" shapeId="0">
      <text>
        <r>
          <rPr>
            <b/>
            <sz val="9"/>
            <color indexed="81"/>
            <rFont val="Tahoma"/>
            <family val="2"/>
          </rPr>
          <t>Oculto</t>
        </r>
      </text>
    </comment>
    <comment ref="AZ9" authorId="1" shapeId="0">
      <text>
        <r>
          <rPr>
            <b/>
            <sz val="9"/>
            <color indexed="81"/>
            <rFont val="Tahoma"/>
            <family val="2"/>
          </rPr>
          <t>Oculto</t>
        </r>
      </text>
    </comment>
    <comment ref="BA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P10" authorId="1" shapeId="0">
      <text>
        <r>
          <rPr>
            <b/>
            <sz val="9"/>
            <color indexed="81"/>
            <rFont val="Tahoma"/>
            <family val="2"/>
          </rPr>
          <t>Oculto</t>
        </r>
      </text>
    </comment>
    <comment ref="Q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AQ10" authorId="1" shapeId="0">
      <text>
        <r>
          <rPr>
            <b/>
            <sz val="9"/>
            <color indexed="81"/>
            <rFont val="Tahoma"/>
            <family val="2"/>
          </rPr>
          <t>Oculto</t>
        </r>
      </text>
    </comment>
    <comment ref="AU10" authorId="1" shapeId="0">
      <text>
        <r>
          <rPr>
            <b/>
            <sz val="9"/>
            <color indexed="81"/>
            <rFont val="Tahoma"/>
            <family val="2"/>
          </rPr>
          <t>Oculto</t>
        </r>
      </text>
    </comment>
    <comment ref="AV10" authorId="1" shapeId="0">
      <text>
        <r>
          <rPr>
            <b/>
            <sz val="9"/>
            <color indexed="81"/>
            <rFont val="Tahoma"/>
            <family val="2"/>
          </rPr>
          <t>Oculto</t>
        </r>
      </text>
    </comment>
    <comment ref="AY10" authorId="1" shapeId="0">
      <text>
        <r>
          <rPr>
            <b/>
            <sz val="9"/>
            <color indexed="81"/>
            <rFont val="Tahoma"/>
            <family val="2"/>
          </rPr>
          <t>Oculto</t>
        </r>
      </text>
    </comment>
    <comment ref="AZ10" authorId="1" shapeId="0">
      <text>
        <r>
          <rPr>
            <b/>
            <sz val="9"/>
            <color indexed="81"/>
            <rFont val="Tahoma"/>
            <family val="2"/>
          </rPr>
          <t>Oculto</t>
        </r>
      </text>
    </comment>
    <comment ref="BA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N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AQ11" authorId="1" shapeId="0">
      <text>
        <r>
          <rPr>
            <b/>
            <sz val="9"/>
            <color indexed="81"/>
            <rFont val="Tahoma"/>
            <family val="2"/>
          </rPr>
          <t>Oculto</t>
        </r>
      </text>
    </comment>
    <comment ref="AU11" authorId="1" shapeId="0">
      <text>
        <r>
          <rPr>
            <b/>
            <sz val="9"/>
            <color indexed="81"/>
            <rFont val="Tahoma"/>
            <family val="2"/>
          </rPr>
          <t>Oculto</t>
        </r>
      </text>
    </comment>
    <comment ref="AV11" authorId="1" shapeId="0">
      <text>
        <r>
          <rPr>
            <b/>
            <sz val="9"/>
            <color indexed="81"/>
            <rFont val="Tahoma"/>
            <family val="2"/>
          </rPr>
          <t>Oculto</t>
        </r>
      </text>
    </comment>
    <comment ref="AY11" authorId="1" shapeId="0">
      <text>
        <r>
          <rPr>
            <b/>
            <sz val="9"/>
            <color indexed="81"/>
            <rFont val="Tahoma"/>
            <family val="2"/>
          </rPr>
          <t>Oculto</t>
        </r>
      </text>
    </comment>
    <comment ref="AZ11" authorId="1" shapeId="0">
      <text>
        <r>
          <rPr>
            <b/>
            <sz val="9"/>
            <color indexed="81"/>
            <rFont val="Tahoma"/>
            <family val="2"/>
          </rPr>
          <t>Oculto</t>
        </r>
      </text>
    </comment>
    <comment ref="BA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N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AQ12" authorId="1" shapeId="0">
      <text>
        <r>
          <rPr>
            <b/>
            <sz val="9"/>
            <color indexed="81"/>
            <rFont val="Tahoma"/>
            <family val="2"/>
          </rPr>
          <t>Oculto</t>
        </r>
      </text>
    </comment>
    <comment ref="AU12" authorId="1" shapeId="0">
      <text>
        <r>
          <rPr>
            <b/>
            <sz val="9"/>
            <color indexed="81"/>
            <rFont val="Tahoma"/>
            <family val="2"/>
          </rPr>
          <t>Oculto</t>
        </r>
      </text>
    </comment>
    <comment ref="AV12" authorId="1" shapeId="0">
      <text>
        <r>
          <rPr>
            <b/>
            <sz val="9"/>
            <color indexed="81"/>
            <rFont val="Tahoma"/>
            <family val="2"/>
          </rPr>
          <t>Oculto</t>
        </r>
      </text>
    </comment>
    <comment ref="AY12" authorId="1" shapeId="0">
      <text>
        <r>
          <rPr>
            <b/>
            <sz val="9"/>
            <color indexed="81"/>
            <rFont val="Tahoma"/>
            <family val="2"/>
          </rPr>
          <t>Oculto</t>
        </r>
      </text>
    </comment>
    <comment ref="AZ12" authorId="1" shapeId="0">
      <text>
        <r>
          <rPr>
            <b/>
            <sz val="9"/>
            <color indexed="81"/>
            <rFont val="Tahoma"/>
            <family val="2"/>
          </rPr>
          <t>Oculto</t>
        </r>
      </text>
    </comment>
    <comment ref="BA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L15" authorId="1" shapeId="0">
      <text>
        <r>
          <rPr>
            <b/>
            <sz val="9"/>
            <color indexed="81"/>
            <rFont val="Tahoma"/>
            <family val="2"/>
          </rPr>
          <t>Oculto</t>
        </r>
      </text>
    </comment>
    <comment ref="S15" authorId="1"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L16" authorId="1" shapeId="0">
      <text>
        <r>
          <rPr>
            <b/>
            <sz val="9"/>
            <color indexed="81"/>
            <rFont val="Tahoma"/>
            <family val="2"/>
          </rPr>
          <t>Oculto</t>
        </r>
      </text>
    </comment>
    <comment ref="S16" authorId="1"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S17" authorId="1"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L18" authorId="1" shapeId="0">
      <text>
        <r>
          <rPr>
            <b/>
            <sz val="9"/>
            <color indexed="81"/>
            <rFont val="Tahoma"/>
            <family val="2"/>
          </rPr>
          <t>Oculto</t>
        </r>
      </text>
    </comment>
    <comment ref="S18" authorId="1"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Z19" authorId="2" shapeId="0">
      <text>
        <r>
          <rPr>
            <b/>
            <sz val="9"/>
            <color indexed="81"/>
            <rFont val="Tahoma"/>
            <family val="2"/>
          </rPr>
          <t>Oculto</t>
        </r>
      </text>
    </comment>
  </commentList>
</comments>
</file>

<file path=xl/sharedStrings.xml><?xml version="1.0" encoding="utf-8"?>
<sst xmlns="http://schemas.openxmlformats.org/spreadsheetml/2006/main" count="2527" uniqueCount="1026">
  <si>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</si>
  <si>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</si>
  <si>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</si>
  <si>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</si>
  <si>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</si>
  <si>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</si>
  <si>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</si>
  <si>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</si>
  <si>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</si>
  <si>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</si>
  <si>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</si>
  <si>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</si>
  <si>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</si>
  <si>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</si>
  <si>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</si>
  <si>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</si>
  <si>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</si>
  <si>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</si>
  <si>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</si>
  <si>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</si>
  <si>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</si>
  <si>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</si>
  <si>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</si>
  <si>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</si>
  <si>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</si>
  <si>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</si>
  <si>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</si>
  <si>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</si>
  <si>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</si>
  <si>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</si>
  <si>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</si>
  <si>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</si>
  <si>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</si>
  <si>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</si>
  <si>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</si>
  <si>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</si>
  <si>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</si>
  <si>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</si>
  <si>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</si>
  <si>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</si>
  <si>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</si>
  <si>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</si>
  <si>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</si>
  <si>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</si>
  <si>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</si>
  <si>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</si>
  <si>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</si>
  <si>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</si>
  <si>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</si>
  <si>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</si>
  <si>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</si>
  <si>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</si>
  <si>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</si>
  <si>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</si>
  <si>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</si>
  <si>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</si>
  <si>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</si>
  <si>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</si>
  <si>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</si>
  <si>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</si>
  <si>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</si>
  <si>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</si>
  <si>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</si>
  <si>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</si>
  <si>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</si>
  <si>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</si>
  <si>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</si>
  <si>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</si>
  <si>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</si>
  <si>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</si>
  <si>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</si>
  <si>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</si>
  <si>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</si>
  <si>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</si>
  <si>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</si>
  <si>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</si>
  <si>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</si>
  <si>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</si>
  <si>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</si>
  <si>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</si>
  <si>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</si>
  <si>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</si>
  <si>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</si>
  <si>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</si>
  <si>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</si>
  <si>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</si>
  <si>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</si>
  <si>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</si>
  <si>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</si>
  <si>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</si>
  <si>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</si>
  <si>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</si>
  <si>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</si>
  <si>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</si>
  <si>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</si>
  <si>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</si>
  <si>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</si>
  <si>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</si>
  <si>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</si>
  <si>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</si>
  <si>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</si>
  <si>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</si>
  <si>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</si>
  <si>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</si>
  <si>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</si>
  <si>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</si>
  <si>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</si>
  <si>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</si>
  <si>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</si>
  <si>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</si>
  <si>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</si>
  <si>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</si>
  <si>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</si>
  <si>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</si>
  <si>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</si>
  <si>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</si>
  <si>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</si>
  <si>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</si>
  <si>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</si>
  <si>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</si>
  <si>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</si>
  <si>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</si>
  <si>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</si>
  <si>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</si>
  <si>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Provincia</t>
  </si>
  <si>
    <t>Partido Judicial</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</si>
  <si>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</si>
  <si>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</si>
  <si>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</si>
  <si>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</si>
  <si>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</si>
  <si>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</si>
  <si>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</si>
  <si>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</si>
  <si>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</si>
  <si>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</si>
  <si>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</si>
  <si>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</si>
  <si>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</si>
  <si>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</si>
  <si>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csasenmu &lt;&gt;'000'</t>
  </si>
  <si>
    <t>53</t>
  </si>
  <si>
    <t>AUTOST85</t>
  </si>
  <si>
    <t>EJECU247</t>
  </si>
  <si>
    <t>EJECU547</t>
  </si>
  <si>
    <t>EJECU647</t>
  </si>
  <si>
    <t>Jdos. Violencia contra la mujer</t>
  </si>
  <si>
    <t>TPROC122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</si>
  <si>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</si>
  <si>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</si>
  <si>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</si>
  <si>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</si>
  <si>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</si>
  <si>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</si>
  <si>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</si>
  <si>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</si>
  <si>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</si>
  <si>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</si>
  <si>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</si>
  <si>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</si>
  <si>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</si>
  <si>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</si>
  <si>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</si>
  <si>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</si>
  <si>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</si>
  <si>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</si>
  <si>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</si>
  <si>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</si>
  <si>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</si>
  <si>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</si>
  <si>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</si>
  <si>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</si>
  <si>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</si>
  <si>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</si>
  <si>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</si>
  <si>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</si>
  <si>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</si>
  <si>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</si>
  <si>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</si>
  <si>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</si>
  <si>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</si>
  <si>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</si>
  <si>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</si>
  <si>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</si>
  <si>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</si>
  <si>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</si>
  <si>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</si>
  <si>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</si>
  <si>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</si>
  <si>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</si>
  <si>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</si>
  <si>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</si>
  <si>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</si>
  <si>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</si>
  <si>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</si>
  <si>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</si>
  <si>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</si>
  <si>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</si>
  <si>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</si>
  <si>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</si>
  <si>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</si>
  <si>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</si>
  <si>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</si>
  <si>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</si>
  <si>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</si>
  <si>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</si>
  <si>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</si>
  <si>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</si>
  <si>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</si>
  <si>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</si>
  <si>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</si>
  <si>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</si>
  <si>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</si>
  <si>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</si>
  <si>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</si>
  <si>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</si>
  <si>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</si>
  <si>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</si>
  <si>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</si>
  <si>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</si>
  <si>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</si>
  <si>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</si>
  <si>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</si>
  <si>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</si>
  <si>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</si>
  <si>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</si>
  <si>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</si>
  <si>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</si>
  <si>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</si>
  <si>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</si>
  <si>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</si>
  <si>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</si>
  <si>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</si>
  <si>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</si>
  <si>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</si>
  <si>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</si>
  <si>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</si>
  <si>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</si>
  <si>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</si>
  <si>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</si>
  <si>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</si>
  <si>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</si>
  <si>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</si>
  <si>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</si>
  <si>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</si>
  <si>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</si>
  <si>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</si>
  <si>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</si>
  <si>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</si>
  <si>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</si>
  <si>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</si>
  <si>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</si>
  <si>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</si>
  <si>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</si>
  <si>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</si>
  <si>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</si>
  <si>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</si>
  <si>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</si>
  <si>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</si>
  <si>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</si>
  <si>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</si>
  <si>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</si>
  <si>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</si>
  <si>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</si>
  <si>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</si>
  <si>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</si>
  <si>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</si>
  <si>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</si>
  <si>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</si>
  <si>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</si>
  <si>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</si>
  <si>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</si>
  <si>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</si>
  <si>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</si>
  <si>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</si>
  <si>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</si>
  <si>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</si>
  <si>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</si>
  <si>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</si>
  <si>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</si>
  <si>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</si>
  <si>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</si>
  <si>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</si>
  <si>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</si>
  <si>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</si>
  <si>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</si>
  <si>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</si>
  <si>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</si>
  <si>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</si>
  <si>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</si>
  <si>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</si>
  <si>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</si>
  <si>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</si>
  <si>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</si>
  <si>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</si>
  <si>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</si>
  <si>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</si>
  <si>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</si>
  <si>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</si>
  <si>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</si>
  <si>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</si>
  <si>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</si>
  <si>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</si>
  <si>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</si>
  <si>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</si>
  <si>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</si>
  <si>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</si>
  <si>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</si>
  <si>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</si>
  <si>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</si>
  <si>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</si>
  <si>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</si>
  <si>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</si>
  <si>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</si>
  <si>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</si>
  <si>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</si>
  <si>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</si>
  <si>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</si>
  <si>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</si>
  <si>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</si>
  <si>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</si>
  <si>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</si>
  <si>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</si>
  <si>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</si>
  <si>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</si>
  <si>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</si>
  <si>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</si>
  <si>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</si>
  <si>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</si>
  <si>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</si>
  <si>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</si>
  <si>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</si>
  <si>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</si>
  <si>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</si>
  <si>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</si>
  <si>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</si>
  <si>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</si>
  <si>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</si>
  <si>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</si>
  <si>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</si>
  <si>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</si>
  <si>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</si>
  <si>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</si>
  <si>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</si>
  <si>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</si>
  <si>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</si>
  <si>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</si>
  <si>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</si>
  <si>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</si>
  <si>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</si>
  <si>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</si>
  <si>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</si>
  <si>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</si>
  <si>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</si>
  <si>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</si>
  <si>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</si>
  <si>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</si>
  <si>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</si>
  <si>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</si>
  <si>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</si>
  <si>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</si>
  <si>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</si>
  <si>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</si>
  <si>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</si>
  <si>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</si>
  <si>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</si>
  <si>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</si>
  <si>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</si>
  <si>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</si>
  <si>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</si>
  <si>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</si>
  <si>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</si>
  <si>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</si>
  <si>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</si>
  <si>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</si>
  <si>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</si>
  <si>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</si>
  <si>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</si>
  <si>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</si>
  <si>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</si>
  <si>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</si>
  <si>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</si>
  <si>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</si>
  <si>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</si>
  <si>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</si>
  <si>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</si>
  <si>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</si>
  <si>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</si>
  <si>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</si>
  <si>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</si>
  <si>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</si>
  <si>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</si>
  <si>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</si>
  <si>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</si>
  <si>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</si>
  <si>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</si>
  <si>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</si>
  <si>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</si>
  <si>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</si>
  <si>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</si>
  <si>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</si>
  <si>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</si>
  <si>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</si>
  <si>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</si>
  <si>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</si>
  <si>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</si>
  <si>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</si>
  <si>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</si>
  <si>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</si>
  <si>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</si>
  <si>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</si>
  <si>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</si>
  <si>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</si>
  <si>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</si>
  <si>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</si>
  <si>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</si>
  <si>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</si>
  <si>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</si>
  <si>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</si>
  <si>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</si>
  <si>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</si>
  <si>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</si>
  <si>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</si>
  <si>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</si>
  <si>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</si>
  <si>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</si>
  <si>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</si>
  <si>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</si>
  <si>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</si>
  <si>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</si>
  <si>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</si>
  <si>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</si>
  <si>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</si>
  <si>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</si>
  <si>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</si>
  <si>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</si>
  <si>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</si>
  <si>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</si>
  <si>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</si>
  <si>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</si>
  <si>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</si>
  <si>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</si>
  <si>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</si>
  <si>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</si>
  <si>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</si>
  <si>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</si>
  <si>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</si>
  <si>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</si>
  <si>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</si>
  <si>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</si>
  <si>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</si>
  <si>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</si>
  <si>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</si>
  <si>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</si>
  <si>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</si>
  <si>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</si>
  <si>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</si>
  <si>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</si>
  <si>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</si>
  <si>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</si>
  <si>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</si>
  <si>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</si>
  <si>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</si>
  <si>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</si>
  <si>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</si>
  <si>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</si>
  <si>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</si>
  <si>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</si>
  <si>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</si>
  <si>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</si>
  <si>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</si>
  <si>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</si>
  <si>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</si>
  <si>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</si>
  <si>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</si>
  <si>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</si>
  <si>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</si>
  <si>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</si>
  <si>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</si>
  <si>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</si>
  <si>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</si>
  <si>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</si>
  <si>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</si>
  <si>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</si>
  <si>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</si>
  <si>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</si>
  <si>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</si>
  <si>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</si>
  <si>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</si>
  <si>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</si>
  <si>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</si>
  <si>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</si>
  <si>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</si>
  <si>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</si>
  <si>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</si>
  <si>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</si>
  <si>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</si>
  <si>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</si>
  <si>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</si>
  <si>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</si>
  <si>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</si>
  <si>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</si>
  <si>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</si>
  <si>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</si>
  <si>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</si>
  <si>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</si>
  <si>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</si>
  <si>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</si>
  <si>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</si>
  <si>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</si>
  <si>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</si>
  <si>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</si>
  <si>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</si>
  <si>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</si>
  <si>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</si>
  <si>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</si>
  <si>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EJFAL422+EJLEV422</t>
  </si>
  <si>
    <t>JFALT324+EJLEV324+NVL(EJFAL422,0)+NVL(EJLEV422,0)</t>
  </si>
  <si>
    <t>DILIP424+NVL(DILPR522,0)*5+PIESE324</t>
  </si>
  <si>
    <t>DILIP524+NVL(DILPR622,0)*5+PIESE424</t>
  </si>
  <si>
    <t>DILIP224+DILIP324+PIESE224</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</si>
  <si>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</si>
  <si>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</si>
  <si>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</si>
  <si>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</si>
  <si>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</si>
  <si>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</si>
  <si>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</si>
  <si>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</si>
  <si>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</si>
  <si>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</si>
  <si>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</si>
  <si>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</si>
  <si>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</si>
  <si>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</si>
  <si>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</si>
  <si>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</si>
  <si>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</si>
  <si>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</si>
  <si>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</si>
  <si>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</si>
  <si>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</si>
  <si>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</si>
  <si>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</si>
  <si>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</si>
  <si>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</si>
  <si>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</si>
  <si>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</si>
  <si>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</si>
  <si>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</si>
  <si>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</si>
  <si>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</si>
  <si>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</si>
  <si>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</si>
  <si>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</si>
  <si>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</si>
  <si>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</si>
  <si>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</si>
  <si>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</si>
  <si>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</si>
  <si>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</si>
  <si>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</si>
  <si>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</si>
  <si>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</si>
  <si>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</si>
  <si>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</si>
  <si>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</si>
  <si>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</si>
  <si>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</si>
  <si>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</si>
  <si>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</si>
  <si>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</si>
  <si>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</si>
  <si>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</si>
  <si>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</si>
  <si>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</si>
  <si>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</si>
  <si>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</si>
  <si>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</si>
  <si>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</si>
  <si>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</si>
  <si>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</si>
  <si>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</si>
  <si>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</si>
  <si>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</si>
  <si>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</si>
  <si>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</si>
  <si>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</si>
  <si>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</si>
  <si>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</si>
  <si>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</si>
  <si>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</si>
  <si>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</si>
  <si>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</si>
  <si>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</si>
  <si>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</si>
  <si>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</si>
  <si>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</si>
  <si>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</si>
  <si>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</si>
  <si>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</si>
  <si>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</si>
  <si>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</si>
  <si>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</si>
  <si>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</si>
  <si>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</si>
  <si>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</si>
  <si>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</si>
  <si>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</si>
  <si>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</si>
  <si>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</si>
  <si>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</si>
  <si>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</si>
  <si>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</si>
  <si>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</si>
  <si>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</si>
  <si>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</si>
  <si>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</si>
  <si>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</si>
  <si>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</si>
  <si>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</si>
  <si>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</si>
  <si>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</si>
  <si>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</si>
  <si>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</si>
  <si>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</si>
  <si>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</si>
  <si>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</si>
  <si>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</si>
  <si>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</si>
  <si>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</si>
  <si>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</si>
  <si>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</si>
  <si>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</si>
  <si>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</si>
  <si>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</si>
  <si>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</si>
  <si>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</si>
  <si>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</si>
  <si>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</si>
  <si>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</si>
  <si>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</si>
  <si>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</si>
  <si>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</si>
  <si>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</si>
  <si>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</si>
  <si>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</si>
  <si>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</si>
  <si>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</si>
  <si>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</si>
  <si>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</si>
  <si>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</si>
  <si>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</si>
  <si>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</si>
  <si>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</si>
  <si>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</si>
  <si>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</si>
  <si>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</si>
  <si>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</si>
  <si>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</si>
  <si>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</si>
  <si>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</si>
  <si>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</si>
  <si>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</si>
  <si>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</si>
  <si>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</si>
  <si>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</si>
  <si>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</si>
  <si>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</si>
  <si>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</si>
  <si>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</si>
  <si>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</si>
  <si>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</si>
  <si>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</si>
  <si>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</si>
  <si>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</si>
  <si>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</si>
  <si>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</si>
  <si>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</si>
  <si>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</si>
  <si>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</si>
  <si>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</si>
  <si>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</si>
  <si>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</si>
  <si>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</si>
  <si>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</si>
  <si>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</si>
  <si>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</si>
  <si>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</si>
  <si>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</si>
  <si>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</si>
  <si>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</si>
  <si>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</si>
  <si>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</si>
  <si>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</si>
  <si>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</si>
  <si>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</si>
  <si>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</si>
  <si>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</si>
  <si>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</si>
  <si>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</si>
  <si>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</si>
  <si>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</si>
  <si>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</si>
  <si>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</si>
  <si>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</si>
  <si>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</si>
  <si>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</si>
  <si>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</si>
  <si>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</si>
  <si>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</si>
  <si>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</si>
  <si>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</si>
  <si>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</si>
  <si>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</si>
  <si>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</si>
  <si>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</si>
  <si>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</si>
  <si>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</si>
  <si>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</si>
  <si>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</si>
  <si>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S3</t>
  </si>
  <si>
    <t xml:space="preserve">En comisión de servicio sin relevación de funciones o cualquier otra sustitución retribuida </t>
  </si>
  <si>
    <t>CCAA</t>
  </si>
  <si>
    <t>Pendencia
Concursos</t>
  </si>
  <si>
    <t>JUICI224+JUICI324+DELLE224+DELLE324</t>
  </si>
  <si>
    <t>JUICI424+DELLE424</t>
  </si>
  <si>
    <t>JUICI524+DELLE524</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</si>
  <si>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</si>
  <si>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</si>
  <si>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</si>
  <si>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</si>
  <si>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</si>
  <si>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</si>
  <si>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</si>
  <si>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</si>
  <si>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</si>
  <si>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</si>
  <si>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</si>
  <si>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</si>
  <si>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</si>
  <si>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</si>
  <si>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</si>
  <si>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</si>
  <si>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</si>
  <si>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</si>
  <si>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</si>
  <si>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</si>
  <si>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</si>
  <si>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</si>
  <si>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</si>
  <si>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</si>
  <si>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</si>
  <si>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</si>
  <si>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</si>
  <si>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</si>
  <si>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</si>
  <si>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</si>
  <si>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</si>
  <si>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</si>
  <si>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</si>
  <si>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</si>
  <si>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</si>
  <si>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</si>
  <si>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</si>
  <si>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</si>
  <si>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</si>
  <si>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TDERE218+MEDTO218+INCTO218+PROMO218+PROES218+SOLRE215+INTEV215*0.2+AUTMC215*0.2+AUTMP215+TCON2211+INCID211+MECAU211</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</si>
  <si>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</si>
  <si>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</si>
  <si>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</si>
  <si>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</si>
  <si>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</si>
  <si>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</si>
  <si>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Permisos y licencias individual juez</t>
  </si>
  <si>
    <t>Concepto</t>
  </si>
  <si>
    <t>Fecha Inicio</t>
  </si>
  <si>
    <t>Fecha Fin</t>
  </si>
  <si>
    <t>Número días PyL</t>
  </si>
  <si>
    <t>Número días Periodo</t>
  </si>
  <si>
    <t>150</t>
  </si>
  <si>
    <t>151</t>
  </si>
  <si>
    <t>Estado</t>
  </si>
  <si>
    <t>Umbral dedicación</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</si>
  <si>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</si>
  <si>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</si>
  <si>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</si>
  <si>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</si>
  <si>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</si>
  <si>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</si>
  <si>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</si>
  <si>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</si>
  <si>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</si>
  <si>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</si>
  <si>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</si>
  <si>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</si>
  <si>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</si>
  <si>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</si>
  <si>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</si>
  <si>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</si>
  <si>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</si>
  <si>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</si>
  <si>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</si>
  <si>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</si>
  <si>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</si>
  <si>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</si>
  <si>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</si>
  <si>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</si>
  <si>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</si>
  <si>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</si>
  <si>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</si>
  <si>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</si>
  <si>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</si>
  <si>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</si>
  <si>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</si>
  <si>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</si>
  <si>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</si>
  <si>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</si>
  <si>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</si>
  <si>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</si>
  <si>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</si>
  <si>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</si>
  <si>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</si>
  <si>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</si>
  <si>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</si>
  <si>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</si>
  <si>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</si>
  <si>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</si>
  <si>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</si>
  <si>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</si>
  <si>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</si>
  <si>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</si>
  <si>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</si>
  <si>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</si>
  <si>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</si>
  <si>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</si>
  <si>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</si>
  <si>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</si>
  <si>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</si>
  <si>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</si>
  <si>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</si>
  <si>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</si>
  <si>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</si>
  <si>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</si>
  <si>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</si>
  <si>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</si>
  <si>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</si>
  <si>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</si>
  <si>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</si>
  <si>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</si>
  <si>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</si>
  <si>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</si>
  <si>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</si>
  <si>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</si>
  <si>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</si>
  <si>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</si>
  <si>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</si>
  <si>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</si>
  <si>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</si>
  <si>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</si>
  <si>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</si>
  <si>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</si>
  <si>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</si>
  <si>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</si>
  <si>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</si>
  <si>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</si>
  <si>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</si>
  <si>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</si>
  <si>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</si>
  <si>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</si>
  <si>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</si>
  <si>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</si>
  <si>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</si>
  <si>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</si>
  <si>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</si>
  <si>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</si>
  <si>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12*(NVL(SUMAR424,0))+18*(NVL(PELEVT24,0))+3*1.05*(NVL(TPRAB224,0)+NVL(TPRAB424,0))+1.75*1.05*(NVL(SENTET25,0)+NVL(DELLE525,0)-NVL(MOJRA424,0)-NVL(MOLEV424,0))+(NVL(HABEA424,0))+2*(NVL(SENDET25,0)+NVL(SENDVD25,0))+2*(NVL(MOJRA424,0))+2*(NVL(MOLEV424,0))+2*(NVL(TORDP424,0)+NVL(TORDP324,0))+2*(NVL(VMOPRT24+VS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</si>
  <si>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END)*(12*(SUMAR424)+18*(PELEVT24)+3*1.05*(TPRAB224+TPRAB424)+1.75*1.05*(SENTET25+DELLE525-MOJRA424-MOLEV424)+(HABEA424)+25+2*(SENDET25+SENDVD25)+2*(MOJRA424+MOLEV424)+2*(TORDP424+TORDP324)+2*(VMOPRT24+VSOPRT24)))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</si>
  <si>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VS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</si>
  <si>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TPROC222+TPROC322+TPROC422+TPROX222+TPROX322+TPROX422</t>
  </si>
  <si>
    <t>TPROC222+TPROC322+TPROC422+TPROX222+TPROX322+TPROX422
TPROC222+TPROC322+TPROC422+TPROX222+TPROX322+TPROX422
TPROC222+TPROC322+TPROC422+TPROX222+TPROX322+TPROX422</t>
  </si>
  <si>
    <t>TPROC224+TPROC324+NVL(TPROC222,0)+NVL(TPROC322,0)+NVL(TPROC422,0)+NVL(TPROX222,0)+NVL(TPROX322,0)+NVL(TPROX422,0)+NVL(TCONT211,0)+NVL(TCON2211,0)+NVL(TDERE218,0)+NVL(TDERE318,0)+NVL(MOVCO211,0)+NVL(MOVCO311,0)+NVL(MOVCO411,0)+NVL(INCID211,0)+NVL(MECAU211,0)+PIESE224</t>
  </si>
  <si>
    <t>TPROC224+PIESE224+NVL(TPROC222,0)*2+NVL(TPROC322,0)*2+NVL(TPROC422,0)*2+NVL(TPROX222,0)*2+NVL(TPROX322,0)*2+NVL(TPROX422,0)*2+(NVL(TCONT211,0)+NVL(MEDTO218,0)+NVL(SOLRE215,0)+NVL(TCON2211,0)+NVL(TVOLU215,0)+NVL(INCID211,0)+NVL(MECAU211,0)+NVL(MOVCO211,0)+NVL(INTEV215,0)*0.16+NVL(TDERE218,0)*0.8)*14.83</t>
  </si>
  <si>
    <t>TPROC224+NVL(TPROC222,0)+NVL(TPROC322,0)+NVL(TPROC422,0)+NVL(TPROX222,0)+NVL(TPROX322,0)+NVL(TPROX422,0)+NVL(TCONT211,0)+NVL(TCON2211,0)+NVL(TVOLU215,0)+NVL(INCID211,0)+NVL(MECAU211,0)+NVL(MOVCO211,0)+NVL(MEDTO218,0)+NVL(SOLRE215,0)</t>
  </si>
  <si>
    <t>TPROC224+PIESE224+ASUEX224+(NVL(TPROC222,0)+NVL(TPROC322,0)+NVL(TPROC422,0)+NVL(TPROX222,0)+NVL(TPROX322,0)+NVL(TPROX422,0)+NVL(PCTOT247,0))+(NVL(TCON2211,0)+NVL(MOVCO211,0)*1.5+NVL(INCID211,0)+NVL(MECAU211,0)+NVL(TVOLU215,0)+(NVL(TDERE218,0)+NVL(MEDTO218,0)+NVL(INCTO218,0))+NVL(INTEV215,0)+NVL(AUTME215,0)+NVL(PROMO218,0)+NVL(PROES218,0)+NVL(SOLRE215,0)+NVL(TCIVI215,0))*2.75</t>
  </si>
  <si>
    <t>TPROC224+TPROC324+NVL(TPROC222,0)+NVL(TPROC322,0)+NVL(TPROC422,0)+NVL(TPROX222,0)+NVL(TPROX322,0)+NVL(TPROX422,0)+PIESE224</t>
  </si>
  <si>
    <t>TPROC224+NVL(TPROC222,0)+NVL(TPROC322,0)+NVL(TPROC422,0)+NVL(TPROX222,0)+NVL(TPROX322,0)+NVL(TPROX422,0)+NVL(DILPR222,0)*4+NVL(DILPR322,0)*4+PIESE224</t>
  </si>
  <si>
    <t>TPROC224+PIESE224+NVL(TPROC222,0)*2+NVL(TPROC322,0)*2+NVL(TPROC422,0)*2+NVL(TPROX222,0)*2+NVL(TPROX322,0)*2+NVL(TPROX422,0)*2</t>
  </si>
  <si>
    <t>TPROC224+NVL(TPROC222,0)+NVL(TPROC322,0)+NVL(TPROC422,0)+NVL(TPROX222,0)+NVL(TPROX322,0)+NVL(TPROX422,0)</t>
  </si>
  <si>
    <t>TPROC224+PIESE224+ASUEX224+NVL(TPROC222,0)+NVL(TPROC322,0)+NVL(TPROC422,0)+NVL(TPROX222,0)+NVL(TPROX322,0)+NVL(TPROX422,0)</t>
  </si>
  <si>
    <t>TPROC222+TPROC322+TPROC422+TPROC522+TPROX422+TPROX322+TPROX422+TPROX522</t>
  </si>
  <si>
    <t>TPROC522+TPROX522</t>
  </si>
  <si>
    <t>TPROC424+NVL(TPROC622,0)+NVL(TPROX622,0)+NVL(TCON1311,0)+NVL(TCON2311,0)+NVL(TDERE418,0)+NVL(TDERE518,0)+NVL(MOVCO511,0)+NVL(MOVCO611,0)+NVL(MOVCO711,0)+NVL(INCID311,0)+NVL(MECAU311,0)+PIESE324</t>
  </si>
  <si>
    <t>TPROC424+PIESE324+ASUEX324+(NVL(TPROC622,0)+NVL(TPROX622,0)+NVL(PCTOT347,0))+(NVL(TCON2311,0)+NVL(MOVCO711,0)*1.5+NVL(INCID311,0)+NVL(MECAU311,0)+NVL(TVOLU315,0)+(NVL(TDERE418,0)+NVL(MEDTO318,0)+NVL(INCTO318,0))+NVL(INTEV315,0)+NVL(AUTME315,0)+NVL(PROMO318,0)+NVL(PROES318,0)+NVL(SOLRE315,0)+NVL(TCIVI515,0))*2.75</t>
  </si>
  <si>
    <t>TPROC424+NVL(TPROC622,0)+PIESE324+NVL(TPROX622,0)</t>
  </si>
  <si>
    <t>TPROC424+NVL(TPROC622,0)+NVL(DILPR522,0)*4+PIESE324+NVL(TPROX622,0)</t>
  </si>
  <si>
    <t>TPROC424+PIESE324+ASUEX324+NVL(TPROC622,0)+NVL(TPROX622,0)</t>
  </si>
  <si>
    <t>TPROC622+TPROX622</t>
  </si>
  <si>
    <t>TPROC722+TPROX722</t>
  </si>
  <si>
    <t>TPROC524+NVL(TPROC722,0)+NVL(TPROX722,0)+NVL(TCON1411,0)+NVL(TCON2411,0)+NVL(TDERE618,0)+NVL(MOVCO811,0)+NVL(INCID411,0)+NVL(MECAU411,0)+NVL(MEDTO418,0)+NVL(INCTO418,0)+PIESE424</t>
  </si>
  <si>
    <t>TPROC524+PIESE424+ASUEX424+(NVL(TPROC722,0)+NVL(TPROX722,0)+NVL(PCTOT447,0))+(NVL(TCON2411,0)+NVL(MOVCO811,0)*1.5+NVL(INCID411,0)+NVL(MECAU411,0)+NVL(TVOLU415,0)+(NVL(TDERE418,0)+NVL(MEDTO418,0)+NVL(INCTO418,0))+NVL(INTEV415,0)+NVL(AUTME415,0)+NVL(PROMO418,0)+NVL(PROES418,0)+NVL(SOLRE415,0)+NVL(TCIVI615,0))*2.75</t>
  </si>
  <si>
    <t>TPROC524+NVL(TPROC722,0)+NVL(TPROX722,0)+PIESE424</t>
  </si>
  <si>
    <t>TPROC524+NVL(TPROC722,0)+NVL(TPROX722,0)+NVL(DILPR622,0)*4+PIESE424</t>
  </si>
  <si>
    <t>TPROC524+PIESE424+ASUEX424+NVL(TPROC722,0)+NVL(TPROX722,0)</t>
  </si>
  <si>
    <t>Asuntos Ingresados Provincia</t>
  </si>
  <si>
    <t>Asuntos Ingresados Partido Judicial</t>
  </si>
  <si>
    <t>Asuntos Ingresados
Umbral</t>
  </si>
  <si>
    <t>Resolucion Asuntos
Umbral</t>
  </si>
  <si>
    <t>Pendencia Asuntos
Provincia</t>
  </si>
  <si>
    <t>Pendencia Asuntos
Partido Judicial</t>
  </si>
  <si>
    <t>Pendencia Asuntos
Umbral 1</t>
  </si>
  <si>
    <t>Pendencia Asuntos
Umbral 2</t>
  </si>
  <si>
    <t>Resolucion Asuntos
 Provincia</t>
  </si>
  <si>
    <t>Resolucion Asuntos
 Partido Judicial</t>
  </si>
  <si>
    <t>Monitorios Ingresados Provincia</t>
  </si>
  <si>
    <t>Monitorioa Ingresados Partido Judicial</t>
  </si>
  <si>
    <t>Monitorios Ingresados
Umbral</t>
  </si>
  <si>
    <t>Resolucion Ejecuciones
 Provincia</t>
  </si>
  <si>
    <t>Resolucion Ejecuciones
 Partido Judicial</t>
  </si>
  <si>
    <t>Resolucion Ejecuciones
Umbral</t>
  </si>
  <si>
    <t>Resolucion Monitorios
 Provincia</t>
  </si>
  <si>
    <t>Resolucion Monitorios
 Partido Judicial</t>
  </si>
  <si>
    <t>Resolucion Monitorios
Umbral</t>
  </si>
  <si>
    <t>Resolucion Concursos
 Provincia</t>
  </si>
  <si>
    <t>Resolucion Concursos
 Partido Judicial</t>
  </si>
  <si>
    <t>Resolucion Concursos
Umbral</t>
  </si>
  <si>
    <t>Pendencia JV
Provincia</t>
  </si>
  <si>
    <t>Pendencia JV
Partido Judicial</t>
  </si>
  <si>
    <t>Pendencia JV
Umbral 1</t>
  </si>
  <si>
    <t>Pendencia JV
Umbral 2</t>
  </si>
  <si>
    <t>Pendencia Monitorios
Provincia</t>
  </si>
  <si>
    <t>Pendencia Monitorios
Partido Judicial</t>
  </si>
  <si>
    <t>Pendencia Monitorios
Umbral 1</t>
  </si>
  <si>
    <t>Pendencia Monitorios
Umbral 2</t>
  </si>
  <si>
    <t>Pendencia Concursos
Provincia</t>
  </si>
  <si>
    <t>Pendencia Concursos
Partido Judicial</t>
  </si>
  <si>
    <t>Pendencia Concursos
Umbral 1</t>
  </si>
  <si>
    <t>Pendencia Concursos
Umbral 2</t>
  </si>
  <si>
    <t>Pendencia Ejecuciones
Provincia</t>
  </si>
  <si>
    <t>Pendencia Ejecuciones
Partido Judicial</t>
  </si>
  <si>
    <t>Pendencia Ejecuciones
Umbral 1</t>
  </si>
  <si>
    <t>Pendencia Ejecuciones
Umbral 2</t>
  </si>
  <si>
    <t>Pendencia &lt;3M
Provincia</t>
  </si>
  <si>
    <t>Pendencia &lt;3M
Partido Judicial</t>
  </si>
  <si>
    <t>Pendencia &lt;3M
Umbral 1</t>
  </si>
  <si>
    <t>Pendencia &lt;3M
Umbral 2</t>
  </si>
  <si>
    <t>Pendencia 3-6
Provincia</t>
  </si>
  <si>
    <t>Pendencia 3-6
Partido Judicial</t>
  </si>
  <si>
    <t>Pendencia 3-6
Umbral 1</t>
  </si>
  <si>
    <t>Pendencia 3-6
Umbral 2</t>
  </si>
  <si>
    <t>Pendencia &gt;6
Provincia</t>
  </si>
  <si>
    <t>Pendencia &gt;6
Partido Judicial</t>
  </si>
  <si>
    <t>Pendencia &gt;6
Umbral 1</t>
  </si>
  <si>
    <t>Pendencia &gt;6
Umbral 2</t>
  </si>
  <si>
    <t>Pendencia Autos &lt;3
Provincia</t>
  </si>
  <si>
    <t>Pendencia Autos &lt;3
Partido Judicial</t>
  </si>
  <si>
    <t>Pendencia Autos &lt;3
Umbral 1</t>
  </si>
  <si>
    <t>Pendencia Autos &lt;3
Umbral 2</t>
  </si>
  <si>
    <t>Pendencia Autos 3-6
Provincia</t>
  </si>
  <si>
    <t>Pendencia Autos 3-6
Partido Judicial</t>
  </si>
  <si>
    <t>Pendencia Autos 3-6
Umbral 1</t>
  </si>
  <si>
    <t>Pendencia Autos 3-6
Umbral 2</t>
  </si>
  <si>
    <t>Pendencia Autos &gt;6
Provincia</t>
  </si>
  <si>
    <t>Pendencia Autos &gt;6
Partido Judicial</t>
  </si>
  <si>
    <t>Pendencia Autos &gt;6
Umbral 1</t>
  </si>
  <si>
    <t>Pendencia Autos &gt;6
Umbral 2</t>
  </si>
  <si>
    <t>Pendencia Escritos &lt;30
Provincia</t>
  </si>
  <si>
    <t>Pendencia Escritos &lt;30
Partido Judicial</t>
  </si>
  <si>
    <t>Pendencia Escritos &lt;30
Umbral 1</t>
  </si>
  <si>
    <t>Pendencia Escritos &lt;30
Umbral 2</t>
  </si>
  <si>
    <t>Pendencia Escritos &gt;30
Provincia</t>
  </si>
  <si>
    <t>Pendencia Escritos &gt;30
Partido Judicial</t>
  </si>
  <si>
    <t>Pendencia Escritos &gt;30
Umbral 1</t>
  </si>
  <si>
    <t>Pendencia Escritos &gt;30
Umbral 2</t>
  </si>
  <si>
    <t>Tiempo respuesta
Provincia</t>
  </si>
  <si>
    <t>Tiempo respuesta
Partido Judicial</t>
  </si>
  <si>
    <t>Tiempo respuesta
Umbral 1</t>
  </si>
  <si>
    <t>Tiempo respuesta
Umbral 2</t>
  </si>
  <si>
    <t>% señalam. Susp.
Partido Judicial</t>
  </si>
  <si>
    <t>% señalam. Susp.
Umbral 1</t>
  </si>
  <si>
    <t>% señalam. Susp.
Provincia</t>
  </si>
  <si>
    <t>Pendencia ARPA
Provincia</t>
  </si>
  <si>
    <t>Pendencia ARPA
Partido Judicial</t>
  </si>
  <si>
    <t>Pendencia ARPA
Umbral 1</t>
  </si>
  <si>
    <t>Pendencia ARPA
Umbral 2</t>
  </si>
  <si>
    <t>Pendencia AAPI
Partido Judicial</t>
  </si>
  <si>
    <t>Pendencia AAPI
Umbral 1</t>
  </si>
  <si>
    <t>Pendencia AAPI
Provincia</t>
  </si>
  <si>
    <t>Pendencia AAPI
Umbral 2</t>
  </si>
  <si>
    <t xml:space="preserve"> % S/Iindicador  De  Resolución (Horas punto)
Provincia</t>
  </si>
  <si>
    <t xml:space="preserve"> % S/Iindicador  De  Resolución (Horas punto)
Partido Judicial</t>
  </si>
  <si>
    <t>% S/Iindicador  De  Resolución (Horas punto)
Umbral 1</t>
  </si>
  <si>
    <t xml:space="preserve"> % S/Iindicador  De  Resolución Provincia</t>
  </si>
  <si>
    <t xml:space="preserve"> % S/Iindicador  De  Resolución Partido Judicial</t>
  </si>
  <si>
    <t xml:space="preserve"> % S/Iindicador  De  Resolución
Umbral</t>
  </si>
  <si>
    <t>RESUMEN INSPECCIÓN VIRTUAL</t>
  </si>
  <si>
    <t>ORGANOS</t>
  </si>
  <si>
    <t>INSPECCION VIRTUAL</t>
  </si>
  <si>
    <t>Resolución Concursos</t>
  </si>
  <si>
    <t>Pendencia Concursos</t>
  </si>
  <si>
    <t>Disfunciones principales</t>
  </si>
  <si>
    <t>Otras disfunciones</t>
  </si>
  <si>
    <t>Nº Disfunciones principales</t>
  </si>
  <si>
    <t>Nº Otras disfunciones</t>
  </si>
  <si>
    <t>TPROC224+PIESE224+ASUEX224+(NVL(TPROC222,0)+NVL(TPROC322,0)+NVL(TPROC422,0)+NVL(TPROX222,0)+NVL(TPROX322,0)+NVL(TPROX422,0)+NVL(TORDP222,0)+NVL(PCTOT247,0)+NVL(MEDTO247,0)+NVL(INCTO247,0))+(NVL(TCON2211,0)+NVL(MOVCO211,0)*1.5+NVL(INCID211,0)+NVL(MECAU211,0)+NVL(TVOLU215,0)+(NVL(TDERE218,0)+NVL(MEDTO218,0)+NVL(INCTO218,0))+NVL(INTEV215,0)+NVL(AUTME215,0)+NVL(PROMO218,0)+NVL(PROES218,0)+NVL(SOLRE215,0)+NVL(TCIVI215,0))*2.75</t>
  </si>
  <si>
    <t>12*(SUMAR622+SUMAX622)+18*(JURAD622+JURAX622)+3*1.05*(TPRAB222+TPRAB422)+1.75*1.05*(SENTE381+SENLE381)+2*(ACEDEC81)+(2-(1.75*1.05))*(JFALT422+JDLEV422)+2*(TORDP322+TORDP422+TORDP522+TORXP322+TORXP422+TORXP522)+SENDET81*2</t>
  </si>
  <si>
    <t>GREATEST(DILUR522-(TORDP322+TORDP422+TORDP522+TORXP322+TORXP422+TORXP522)*2.5,0)</t>
  </si>
  <si>
    <t>GREATEST((DILUR522-(TORDP322+TORDP422+TORDP522+TORXP322+TORXP422+TORXP522))*2.5,0)</t>
  </si>
  <si>
    <t>((CASE WHEN SENTE381+SENLE381+SENDET81+ACEDEC81&gt;0 THEN (SENTE386+SENLE386+SENDET86+ACEDEC86)/(SENTE381+SENLE381+SENDET81+ACEDEC81) ELSE 0 END)*(SUMAR622*12+SUMAX622*12+JURAD622*18+JURAX622*18+(TPRAB222+TPRAB422)*3*1.05+(TORDP322+TORDP422+TORDP522+TORXP322+TORXP422+TORXP522)*2))+2*ACEDEC86+2*SENDET86+2*(CASE WHEN (SENTE381)&gt;0 THEN (SENTE386*JFALT422/SENTE381) ELSE 0 END)+2*(CASE WHEN (SENLE381)&gt;0 THEN (SENLE386*JDLEV422/SENLE381) ELSE 0 END)+1.75*1.05*(CASE WHEN (SENTE381)&gt;0 THEN (SENTE386-SENTE386*JFALT422/SENTE381) ELSE 0 END )</t>
  </si>
  <si>
    <t>12*(SUMAR424)+18*(PELEVT24)+3*1.05*(TPRAB224+TPRAB424)+1.75*1.05*(SENTET25+DELLE525-MOJRA424-MOLEV424)+(HABEA424)+25+2*(SENDET25+SENDVD25)+2*(MOJRA424+MOLEV424)+2*(TORDP524+TORDP424+NVL(TORDP324+TORXP322+TORXP422+TORXP522,0))+2*(VMOPRT24+VSOPRT24)+2*(SENPDE25+SENPDR25)+2.5*SENDEC25+12*(NVL(SUMAR622+SUMAX622,0))+18*(NVL(JURAD622+JURAX622,0))+3*1.05*(NVL(TPRAB222,0)+NVL(TPRAB422,0))+1.75*1.05*(NVL(SENTE381,0)+NVL(SENLE381,0))+2*NVL(ACEDEC81,0)+2*(NVL(SENDET81,0))+(2-(1.75*1.05))*(NVL(JFALT422,0)+NVL(JDLEV422,0))*2+2*(NVL(TORDP322,0)+NVL(TORDP422,0)+NVL(TORDP522,0))+(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</si>
  <si>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12*(SUMAR424)+18*(PELEVT24)+3*1.05*(TPRAB224+TPRAB424)+1.75*1.05*(SENTET25+DELLE525-MOJRA424-MOLEV424)+(HABEA424)+25+2*(SENDET25+SENDVD25)+2*(MOJRA424+MOLEV424)+2*(TORDP524+TORDP424+TORDP324+NVL(TORXP322+TORXP422+TORXP522,0))+2*(VMOPRT24+VSOPRT24)+2*(SENPDE25+SENPDR25)+2.5*SENDEC25+12*(NVL(SUMAR622+SUMAX622,0))+18*(NVL(JURAD622+JURAX622,0))+3*1.05*(NVL(TPRAB222,0)+NVL(TPRAB422,0))+1.75*1.05*(NVL(SENTE381,0)+NVL(SENLE381,0))+2*NVL(ACEDEC81,0)+2*(NVL(SENDET81,0))+(2-(1.75*1.05))*(NVL(JFALT422,0)+NVL(JDLEV422,0))*2+2*(NVL(TORDP322,0)+NVL(TORDP422,0)+NVL(TORDP522,0))</t>
  </si>
  <si>
    <t>Sección Civil del T.I</t>
  </si>
  <si>
    <t xml:space="preserve">Sección de Familia, infancia e incapacidad del TI                           </t>
  </si>
  <si>
    <t xml:space="preserve">Seccion Instruccion Del T.I.                   </t>
  </si>
  <si>
    <t xml:space="preserve">Sección Civil y de Inst. TI                      </t>
  </si>
  <si>
    <t>TPROC224+PIESE224+ASUEX224+NVL(TPROC222,0)+NVL(TPROC322,0)+NVL(TPROC422,0)+NVL(TPROX222,0)+NVL(TPROX322,0)+NVL(TPROX422,0)+NVL(TORDP222,0)</t>
  </si>
  <si>
    <t xml:space="preserve">(ccodespe like 'F%') 
(ccodespe like 'F%' or ccodespe like 'IN' or ccodespe like 'EC' or  ccodespe like 'I '  or  ccodespe like 'TE') </t>
  </si>
  <si>
    <t>Sección De Violencia sobre la Mujer del TI</t>
  </si>
  <si>
    <t>Seccion Violencia contra la inf y adol.</t>
  </si>
  <si>
    <t>Fecha Informe: 18 jun. 2026</t>
  </si>
  <si>
    <t>Tribunales de Justicia</t>
  </si>
  <si>
    <t>ANDALUCIA</t>
  </si>
  <si>
    <t>Provincias</t>
  </si>
  <si>
    <t>CADIZ</t>
  </si>
  <si>
    <t>Resumenes por Partidos Judiciales</t>
  </si>
  <si>
    <t>SAN ROQUE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</si>
</sst>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00_);_(* \(#,##0.00\);_(* &quot;-&quot;??_);_(@_)"/>
    <numFmt numFmtId="165" formatCode="_-* #,##0\ _p_t_a_-;\-* #,##0\ _p_t_a_-;_-* &quot;-&quot;\ _p_t_a_-;_-@_-"/>
    <numFmt numFmtId="166" formatCode="0.000"/>
    <numFmt numFmtId="167" formatCode="0.0%"/>
    <numFmt numFmtId="168" formatCode="_-* #,##0.00\ [$€]_-;\-* #,##0.00\ [$€]_-;_-* &quot;-&quot;??\ [$€]_-;_-@_-"/>
    <numFmt numFmtId="169" formatCode="0.0"/>
    <numFmt numFmtId="170" formatCode="#,##0.0"/>
    <numFmt numFmtId="171" formatCode="0;[Red]0"/>
  </numFmts>
  <fonts count="9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theme="0"/>
      <name val="Times New Roman"/>
      <family val="1"/>
    </font>
    <font>
      <sz val="10"/>
      <name val="Arial"/>
      <family val="2"/>
    </font>
    <font>
      <sz val="10"/>
      <name val="Arial"/>
      <family val="2"/>
    </font>
    <font>
      <b/>
      <sz val="12"/>
      <color indexed="62"/>
      <name val="Times New Roman"/>
      <family val="1"/>
    </font>
    <font>
      <sz val="12"/>
      <name val="Times New Roman"/>
      <family val="1"/>
    </font>
  </fonts>
  <fills count="33">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
      <patternFill patternType="solid">
        <fgColor rgb="FF00B050"/>
        <bgColor indexed="64"/>
      </patternFill>
    </fill>
    <fill>
      <patternFill patternType="solid">
        <fgColor theme="4" tint="0.79998168889431442"/>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103">
    <xf numFmtId="0" fontId="0" fillId="0" borderId="0"/>
    <xf numFmtId="168" fontId="7" fillId="0" borderId="0" applyFont="0" applyFill="0" applyBorder="0" applyAlignment="0" applyProtection="0"/>
    <xf numFmtId="168" fontId="17" fillId="0" borderId="0" applyFont="0" applyFill="0" applyBorder="0" applyAlignment="0" applyProtection="0"/>
    <xf numFmtId="168" fontId="76" fillId="0" borderId="0" applyFont="0" applyFill="0" applyBorder="0" applyAlignment="0" applyProtection="0"/>
    <xf numFmtId="168" fontId="17" fillId="0" borderId="0" applyFont="0" applyFill="0" applyBorder="0" applyAlignment="0" applyProtection="0"/>
    <xf numFmtId="168" fontId="77" fillId="0" borderId="0" applyFont="0" applyFill="0" applyBorder="0" applyAlignment="0" applyProtection="0"/>
    <xf numFmtId="165" fontId="7" fillId="0" borderId="0" applyFont="0" applyFill="0" applyBorder="0" applyAlignment="0" applyProtection="0"/>
    <xf numFmtId="165" fontId="17" fillId="0" borderId="0" applyFont="0" applyFill="0" applyBorder="0" applyAlignment="0" applyProtection="0"/>
    <xf numFmtId="165" fontId="76" fillId="0" borderId="0" applyFont="0" applyFill="0" applyBorder="0" applyAlignment="0" applyProtection="0"/>
    <xf numFmtId="165" fontId="17" fillId="0" borderId="0" applyFont="0" applyFill="0" applyBorder="0" applyAlignment="0" applyProtection="0"/>
    <xf numFmtId="165" fontId="77" fillId="0" borderId="0" applyFont="0" applyFill="0" applyBorder="0" applyAlignment="0" applyProtection="0"/>
    <xf numFmtId="0" fontId="17" fillId="0" borderId="0"/>
    <xf numFmtId="0" fontId="17" fillId="0" borderId="0"/>
    <xf numFmtId="0" fontId="82" fillId="0" borderId="0"/>
    <xf numFmtId="0" fontId="29" fillId="0" borderId="0"/>
    <xf numFmtId="9" fontId="7" fillId="0" borderId="0" applyFont="0" applyFill="0" applyBorder="0" applyAlignment="0" applyProtection="0"/>
    <xf numFmtId="9" fontId="17" fillId="0" borderId="0" applyFont="0" applyFill="0" applyBorder="0" applyAlignment="0" applyProtection="0"/>
    <xf numFmtId="9" fontId="76" fillId="0" borderId="0" applyFont="0" applyFill="0" applyBorder="0" applyAlignment="0" applyProtection="0"/>
    <xf numFmtId="9" fontId="17" fillId="0" borderId="0" applyFont="0" applyFill="0" applyBorder="0" applyAlignment="0" applyProtection="0"/>
    <xf numFmtId="9" fontId="77" fillId="0" borderId="0" applyFont="0" applyFill="0" applyBorder="0" applyAlignment="0" applyProtection="0"/>
    <xf numFmtId="168" fontId="17" fillId="0" borderId="0" applyFont="0" applyFill="0" applyBorder="0" applyAlignment="0" applyProtection="0"/>
    <xf numFmtId="165" fontId="17" fillId="0" borderId="0" applyFont="0" applyFill="0" applyBorder="0" applyAlignment="0" applyProtection="0"/>
    <xf numFmtId="0" fontId="6" fillId="0" borderId="0"/>
    <xf numFmtId="9" fontId="17" fillId="0" borderId="0" applyFont="0" applyFill="0" applyBorder="0" applyAlignment="0" applyProtection="0"/>
    <xf numFmtId="0" fontId="5" fillId="0" borderId="0"/>
    <xf numFmtId="0" fontId="7" fillId="0" borderId="0"/>
    <xf numFmtId="165" fontId="7" fillId="0" borderId="0" applyFont="0" applyFill="0" applyBorder="0" applyAlignment="0" applyProtection="0"/>
    <xf numFmtId="0" fontId="5" fillId="0" borderId="0"/>
    <xf numFmtId="9"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0" fontId="7" fillId="0" borderId="0"/>
    <xf numFmtId="0" fontId="7" fillId="0" borderId="0"/>
    <xf numFmtId="0" fontId="4"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0" fontId="4" fillId="0" borderId="0"/>
    <xf numFmtId="9" fontId="7" fillId="0" borderId="0" applyFont="0" applyFill="0" applyBorder="0" applyAlignment="0" applyProtection="0"/>
    <xf numFmtId="0" fontId="4" fillId="0" borderId="0"/>
    <xf numFmtId="0" fontId="4" fillId="0" borderId="0"/>
    <xf numFmtId="0" fontId="3" fillId="0" borderId="0"/>
    <xf numFmtId="0" fontId="87" fillId="0" borderId="0"/>
    <xf numFmtId="165" fontId="7" fillId="0" borderId="0" applyFont="0" applyFill="0" applyBorder="0" applyAlignment="0" applyProtection="0"/>
    <xf numFmtId="0" fontId="3" fillId="0" borderId="0"/>
    <xf numFmtId="9" fontId="7" fillId="0" borderId="0" applyFont="0" applyFill="0" applyBorder="0" applyAlignment="0" applyProtection="0"/>
    <xf numFmtId="0" fontId="3" fillId="0" borderId="0"/>
    <xf numFmtId="0" fontId="3" fillId="0" borderId="0"/>
    <xf numFmtId="0" fontId="3" fillId="0" borderId="0"/>
    <xf numFmtId="164" fontId="8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8"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cellStyleXfs>
  <cellXfs count="1871">
    <xf numFmtId="0" fontId="0" fillId="0" borderId="0" xfId="0"/>
    <xf numFmtId="0" fontId="14"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10" fillId="0" borderId="5" xfId="0" applyNumberFormat="1" applyFont="1" applyBorder="1" applyAlignment="1" applyProtection="1">
      <alignment horizontal="left" vertical="top" wrapText="1"/>
      <protection locked="0"/>
    </xf>
    <xf numFmtId="0" fontId="12" fillId="0" borderId="6" xfId="0" applyFont="1" applyBorder="1" applyAlignment="1">
      <alignment horizontal="justify" vertical="top" wrapText="1"/>
    </xf>
    <xf numFmtId="0" fontId="0" fillId="0" borderId="0" xfId="0" applyProtection="1">
      <protection locked="0"/>
    </xf>
    <xf numFmtId="0" fontId="10" fillId="2" borderId="8" xfId="0" applyFont="1" applyFill="1" applyBorder="1" applyAlignment="1" applyProtection="1">
      <alignment horizontal="center" vertical="center" wrapText="1"/>
      <protection locked="0"/>
    </xf>
    <xf numFmtId="0" fontId="10" fillId="2" borderId="9" xfId="0" applyFont="1" applyFill="1" applyBorder="1" applyAlignment="1" applyProtection="1">
      <alignment horizontal="center" vertical="center" wrapText="1"/>
      <protection locked="0"/>
    </xf>
    <xf numFmtId="0" fontId="10" fillId="2" borderId="10" xfId="0" applyFont="1" applyFill="1" applyBorder="1" applyAlignment="1" applyProtection="1">
      <alignment horizontal="center" vertical="center" wrapText="1"/>
      <protection locked="0"/>
    </xf>
    <xf numFmtId="0" fontId="10" fillId="2" borderId="11" xfId="0" applyFont="1" applyFill="1" applyBorder="1" applyAlignment="1" applyProtection="1">
      <alignment horizontal="center" vertical="center" wrapText="1"/>
      <protection locked="0"/>
    </xf>
    <xf numFmtId="49" fontId="15" fillId="0" borderId="12"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left" vertical="top" wrapText="1"/>
      <protection locked="0"/>
    </xf>
    <xf numFmtId="49" fontId="15" fillId="0" borderId="14" xfId="0" applyNumberFormat="1" applyFont="1" applyBorder="1" applyAlignment="1" applyProtection="1">
      <alignment horizontal="center" vertical="top" wrapText="1"/>
      <protection locked="0"/>
    </xf>
    <xf numFmtId="49" fontId="20" fillId="0" borderId="15" xfId="0" applyNumberFormat="1" applyFont="1" applyBorder="1" applyProtection="1">
      <protection locked="0"/>
    </xf>
    <xf numFmtId="49" fontId="20" fillId="0" borderId="13" xfId="0" applyNumberFormat="1" applyFont="1" applyBorder="1" applyProtection="1">
      <protection locked="0"/>
    </xf>
    <xf numFmtId="49" fontId="20" fillId="0" borderId="14" xfId="0" applyNumberFormat="1" applyFont="1" applyBorder="1" applyProtection="1">
      <protection locked="0"/>
    </xf>
    <xf numFmtId="0" fontId="12" fillId="0" borderId="16" xfId="0" applyFont="1" applyBorder="1" applyAlignment="1" applyProtection="1">
      <alignment horizontal="justify" vertical="top" wrapText="1"/>
      <protection locked="0"/>
    </xf>
    <xf numFmtId="49" fontId="10" fillId="0" borderId="5" xfId="0" applyNumberFormat="1" applyFont="1" applyBorder="1" applyAlignment="1" applyProtection="1">
      <alignment horizontal="center" vertical="top" wrapText="1"/>
      <protection locked="0"/>
    </xf>
    <xf numFmtId="49" fontId="12" fillId="0" borderId="17" xfId="0" applyNumberFormat="1" applyFont="1" applyBorder="1" applyAlignment="1" applyProtection="1">
      <alignment horizontal="left" vertical="top" wrapText="1"/>
      <protection locked="0"/>
    </xf>
    <xf numFmtId="49" fontId="10" fillId="0" borderId="16" xfId="0" applyNumberFormat="1" applyFont="1" applyBorder="1" applyAlignment="1" applyProtection="1">
      <alignment horizontal="center" vertical="top" wrapText="1"/>
      <protection locked="0"/>
    </xf>
    <xf numFmtId="49" fontId="8" fillId="0" borderId="18" xfId="0" applyNumberFormat="1" applyFont="1" applyBorder="1" applyAlignment="1" applyProtection="1">
      <alignment horizontal="center" vertical="top" wrapText="1"/>
      <protection locked="0"/>
    </xf>
    <xf numFmtId="49" fontId="20" fillId="0" borderId="19" xfId="0" applyNumberFormat="1" applyFont="1" applyBorder="1" applyProtection="1">
      <protection locked="0"/>
    </xf>
    <xf numFmtId="49" fontId="20" fillId="0" borderId="5" xfId="0" applyNumberFormat="1" applyFont="1" applyBorder="1" applyProtection="1">
      <protection locked="0"/>
    </xf>
    <xf numFmtId="49" fontId="20" fillId="0" borderId="18" xfId="0" applyNumberFormat="1" applyFont="1" applyBorder="1" applyProtection="1">
      <protection locked="0"/>
    </xf>
    <xf numFmtId="49" fontId="10"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20" fillId="0" borderId="20" xfId="0" applyNumberFormat="1" applyFont="1" applyBorder="1" applyProtection="1">
      <protection locked="0"/>
    </xf>
    <xf numFmtId="49" fontId="20" fillId="0" borderId="21" xfId="0" applyNumberFormat="1" applyFont="1" applyBorder="1" applyProtection="1">
      <protection locked="0"/>
    </xf>
    <xf numFmtId="0" fontId="0" fillId="0" borderId="0" xfId="0" applyAlignment="1" applyProtection="1">
      <alignment horizontal="left"/>
      <protection locked="0"/>
    </xf>
    <xf numFmtId="0" fontId="14"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20" fillId="0" borderId="12" xfId="0" applyNumberFormat="1" applyFont="1" applyBorder="1" applyProtection="1">
      <protection locked="0"/>
    </xf>
    <xf numFmtId="49" fontId="20" fillId="0" borderId="16" xfId="0" applyNumberFormat="1" applyFont="1" applyBorder="1" applyProtection="1">
      <protection locked="0"/>
    </xf>
    <xf numFmtId="49" fontId="20" fillId="0" borderId="29" xfId="0" applyNumberFormat="1" applyFont="1" applyBorder="1" applyProtection="1">
      <protection locked="0"/>
    </xf>
    <xf numFmtId="49" fontId="20" fillId="0" borderId="30" xfId="0" applyNumberFormat="1" applyFont="1" applyBorder="1" applyProtection="1">
      <protection locked="0"/>
    </xf>
    <xf numFmtId="49" fontId="20" fillId="0" borderId="17" xfId="0" applyNumberFormat="1" applyFont="1" applyBorder="1" applyProtection="1">
      <protection locked="0"/>
    </xf>
    <xf numFmtId="0" fontId="10" fillId="2" borderId="29" xfId="0" applyFont="1" applyFill="1" applyBorder="1" applyAlignment="1" applyProtection="1">
      <alignment horizontal="center" vertical="center" wrapText="1"/>
      <protection locked="0"/>
    </xf>
    <xf numFmtId="0" fontId="10" fillId="2" borderId="21" xfId="0" applyFont="1" applyFill="1" applyBorder="1" applyAlignment="1" applyProtection="1">
      <alignment horizontal="center" vertical="center" wrapText="1"/>
      <protection locked="0"/>
    </xf>
    <xf numFmtId="0" fontId="10" fillId="2" borderId="31" xfId="0" applyFont="1" applyFill="1" applyBorder="1" applyAlignment="1" applyProtection="1">
      <alignment horizontal="center" vertical="center" wrapText="1"/>
      <protection locked="0"/>
    </xf>
    <xf numFmtId="0" fontId="10" fillId="2" borderId="32" xfId="0" applyFont="1" applyFill="1" applyBorder="1" applyAlignment="1" applyProtection="1">
      <alignment horizontal="center" vertical="center" wrapText="1"/>
      <protection locked="0"/>
    </xf>
    <xf numFmtId="49" fontId="20" fillId="0" borderId="33" xfId="0" applyNumberFormat="1" applyFont="1" applyBorder="1" applyProtection="1">
      <protection locked="0"/>
    </xf>
    <xf numFmtId="49" fontId="20" fillId="0" borderId="34" xfId="0" applyNumberFormat="1" applyFont="1" applyBorder="1" applyProtection="1">
      <protection locked="0"/>
    </xf>
    <xf numFmtId="49" fontId="20" fillId="0" borderId="35" xfId="0" applyNumberFormat="1" applyFont="1" applyBorder="1" applyProtection="1">
      <protection locked="0"/>
    </xf>
    <xf numFmtId="49" fontId="20" fillId="0" borderId="36" xfId="0" applyNumberFormat="1" applyFont="1" applyBorder="1" applyProtection="1">
      <protection locked="0"/>
    </xf>
    <xf numFmtId="49" fontId="20" fillId="0" borderId="37" xfId="0" applyNumberFormat="1" applyFont="1" applyBorder="1" applyProtection="1">
      <protection locked="0"/>
    </xf>
    <xf numFmtId="49" fontId="20" fillId="0" borderId="38" xfId="0" applyNumberFormat="1" applyFont="1" applyBorder="1" applyProtection="1">
      <protection locked="0"/>
    </xf>
    <xf numFmtId="49" fontId="20" fillId="0" borderId="39" xfId="0" applyNumberFormat="1" applyFont="1" applyBorder="1" applyProtection="1">
      <protection locked="0"/>
    </xf>
    <xf numFmtId="49" fontId="20" fillId="0" borderId="6" xfId="0" applyNumberFormat="1" applyFont="1" applyBorder="1" applyProtection="1">
      <protection locked="0"/>
    </xf>
    <xf numFmtId="0" fontId="19" fillId="0" borderId="40" xfId="0" applyFont="1" applyBorder="1" applyProtection="1">
      <protection locked="0"/>
    </xf>
    <xf numFmtId="0" fontId="10" fillId="2" borderId="8" xfId="0" applyFont="1" applyFill="1" applyBorder="1" applyAlignment="1" applyProtection="1">
      <alignment horizontal="center" vertical="center" textRotation="90" wrapText="1"/>
      <protection locked="0"/>
    </xf>
    <xf numFmtId="0" fontId="10" fillId="2" borderId="9" xfId="0" applyFont="1" applyFill="1" applyBorder="1" applyAlignment="1" applyProtection="1">
      <alignment horizontal="center" vertical="center" textRotation="90" wrapText="1"/>
      <protection locked="0"/>
    </xf>
    <xf numFmtId="0" fontId="27" fillId="0" borderId="0" xfId="0" applyFont="1"/>
    <xf numFmtId="0" fontId="31" fillId="2" borderId="41" xfId="0" applyFont="1" applyFill="1" applyBorder="1" applyAlignment="1">
      <alignment horizontal="center" vertical="center"/>
    </xf>
    <xf numFmtId="0" fontId="30" fillId="0" borderId="6" xfId="0" applyFont="1" applyBorder="1" applyAlignment="1">
      <alignment horizontal="justify" vertical="top" wrapText="1"/>
    </xf>
    <xf numFmtId="0" fontId="33" fillId="0" borderId="0" xfId="14" applyFont="1" applyAlignment="1">
      <alignment horizontal="left" vertical="center" wrapText="1"/>
    </xf>
    <xf numFmtId="3" fontId="28" fillId="3" borderId="42" xfId="6" applyNumberFormat="1" applyFont="1" applyFill="1" applyBorder="1" applyAlignment="1">
      <alignment horizontal="right"/>
    </xf>
    <xf numFmtId="0" fontId="33" fillId="0" borderId="0" xfId="14" applyFont="1" applyAlignment="1">
      <alignment horizontal="left" vertical="center"/>
    </xf>
    <xf numFmtId="0" fontId="13" fillId="4" borderId="8" xfId="0" applyFont="1" applyFill="1" applyBorder="1" applyAlignment="1" applyProtection="1">
      <alignment horizontal="right" vertical="top" wrapText="1"/>
      <protection locked="0"/>
    </xf>
    <xf numFmtId="49" fontId="24" fillId="4" borderId="9" xfId="0" applyNumberFormat="1" applyFont="1" applyFill="1" applyBorder="1" applyAlignment="1" applyProtection="1">
      <alignment horizontal="center" vertical="top" wrapText="1"/>
      <protection locked="0"/>
    </xf>
    <xf numFmtId="49" fontId="13" fillId="4" borderId="10" xfId="0" applyNumberFormat="1" applyFont="1" applyFill="1" applyBorder="1" applyAlignment="1" applyProtection="1">
      <alignment horizontal="left" vertical="top" wrapText="1"/>
      <protection locked="0"/>
    </xf>
    <xf numFmtId="49" fontId="8" fillId="4" borderId="8"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left" vertical="top" wrapText="1"/>
      <protection locked="0"/>
    </xf>
    <xf numFmtId="49" fontId="8" fillId="4" borderId="11" xfId="0" applyNumberFormat="1" applyFont="1" applyFill="1" applyBorder="1" applyAlignment="1" applyProtection="1">
      <alignment horizontal="center" vertical="top" wrapText="1"/>
      <protection locked="0"/>
    </xf>
    <xf numFmtId="49" fontId="20" fillId="4" borderId="32" xfId="0" applyNumberFormat="1" applyFont="1" applyFill="1" applyBorder="1" applyProtection="1">
      <protection locked="0"/>
    </xf>
    <xf numFmtId="49" fontId="11" fillId="4" borderId="13" xfId="0" applyNumberFormat="1" applyFont="1" applyFill="1" applyBorder="1" applyAlignment="1" applyProtection="1">
      <alignment horizontal="center" vertical="top" wrapText="1"/>
      <protection locked="0"/>
    </xf>
    <xf numFmtId="49" fontId="11" fillId="4" borderId="30" xfId="0" applyNumberFormat="1" applyFont="1" applyFill="1" applyBorder="1" applyAlignment="1" applyProtection="1">
      <alignment horizontal="left" vertical="top" wrapText="1"/>
      <protection locked="0"/>
    </xf>
    <xf numFmtId="49" fontId="15" fillId="4" borderId="12"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left" vertical="top" wrapText="1"/>
      <protection locked="0"/>
    </xf>
    <xf numFmtId="49" fontId="15" fillId="4" borderId="14" xfId="0" applyNumberFormat="1" applyFont="1" applyFill="1" applyBorder="1" applyAlignment="1" applyProtection="1">
      <alignment horizontal="center" vertical="top" wrapText="1"/>
      <protection locked="0"/>
    </xf>
    <xf numFmtId="49" fontId="20" fillId="4" borderId="15" xfId="0" applyNumberFormat="1" applyFont="1" applyFill="1" applyBorder="1" applyProtection="1">
      <protection locked="0"/>
    </xf>
    <xf numFmtId="0" fontId="9" fillId="4" borderId="29" xfId="0" applyFont="1" applyFill="1" applyBorder="1" applyAlignment="1" applyProtection="1">
      <alignment horizontal="justify" vertical="top" wrapText="1"/>
      <protection locked="0"/>
    </xf>
    <xf numFmtId="49" fontId="8" fillId="4" borderId="21" xfId="0" applyNumberFormat="1" applyFont="1" applyFill="1" applyBorder="1" applyAlignment="1" applyProtection="1">
      <alignment horizontal="center" vertical="top" wrapText="1"/>
      <protection locked="0"/>
    </xf>
    <xf numFmtId="49" fontId="10" fillId="4" borderId="43" xfId="0" applyNumberFormat="1" applyFont="1" applyFill="1" applyBorder="1" applyAlignment="1" applyProtection="1">
      <alignment horizontal="left" vertical="top" wrapText="1"/>
      <protection locked="0"/>
    </xf>
    <xf numFmtId="49" fontId="8" fillId="4" borderId="29" xfId="0" applyNumberFormat="1" applyFont="1" applyFill="1" applyBorder="1" applyAlignment="1" applyProtection="1">
      <alignment horizontal="center" vertical="top" wrapText="1"/>
      <protection locked="0"/>
    </xf>
    <xf numFmtId="49" fontId="8" fillId="4" borderId="21" xfId="0" applyNumberFormat="1" applyFont="1" applyFill="1" applyBorder="1" applyAlignment="1" applyProtection="1">
      <alignment horizontal="left" vertical="top" wrapText="1"/>
      <protection locked="0"/>
    </xf>
    <xf numFmtId="49" fontId="8" fillId="4" borderId="31" xfId="0" applyNumberFormat="1" applyFont="1" applyFill="1" applyBorder="1" applyAlignment="1" applyProtection="1">
      <alignment horizontal="center" vertical="top" wrapText="1"/>
      <protection locked="0"/>
    </xf>
    <xf numFmtId="49" fontId="0" fillId="0" borderId="0" xfId="0" applyNumberFormat="1"/>
    <xf numFmtId="0" fontId="10" fillId="2" borderId="43" xfId="0" applyFont="1" applyFill="1" applyBorder="1" applyAlignment="1" applyProtection="1">
      <alignment horizontal="center" vertical="center" wrapText="1"/>
      <protection locked="0"/>
    </xf>
    <xf numFmtId="0" fontId="30" fillId="2" borderId="8" xfId="0" applyFont="1" applyFill="1" applyBorder="1" applyAlignment="1">
      <alignment horizontal="center" vertical="center" wrapText="1"/>
    </xf>
    <xf numFmtId="0" fontId="30" fillId="2" borderId="9" xfId="0" applyFont="1" applyFill="1" applyBorder="1" applyAlignment="1">
      <alignment horizontal="center" vertical="center" wrapText="1"/>
    </xf>
    <xf numFmtId="0" fontId="30" fillId="2" borderId="11" xfId="0" applyFont="1" applyFill="1" applyBorder="1" applyAlignment="1">
      <alignment horizontal="center" vertical="center" wrapText="1"/>
    </xf>
    <xf numFmtId="166" fontId="0" fillId="0" borderId="38" xfId="0" applyNumberFormat="1" applyBorder="1" applyAlignment="1">
      <alignment horizontal="right"/>
    </xf>
    <xf numFmtId="166" fontId="0" fillId="0" borderId="33" xfId="0" applyNumberFormat="1" applyBorder="1" applyAlignment="1">
      <alignment horizontal="right"/>
    </xf>
    <xf numFmtId="166" fontId="0" fillId="0" borderId="39" xfId="0" applyNumberFormat="1" applyBorder="1" applyAlignment="1">
      <alignment horizontal="right"/>
    </xf>
    <xf numFmtId="166" fontId="20" fillId="0" borderId="44" xfId="0" applyNumberFormat="1" applyFont="1" applyBorder="1" applyProtection="1">
      <protection locked="0"/>
    </xf>
    <xf numFmtId="166" fontId="20" fillId="0" borderId="30" xfId="0" applyNumberFormat="1" applyFont="1" applyBorder="1" applyProtection="1">
      <protection locked="0"/>
    </xf>
    <xf numFmtId="166" fontId="20" fillId="0" borderId="14" xfId="0" applyNumberFormat="1" applyFont="1" applyBorder="1" applyProtection="1">
      <protection locked="0"/>
    </xf>
    <xf numFmtId="49" fontId="20" fillId="4" borderId="9" xfId="0" applyNumberFormat="1" applyFont="1" applyFill="1" applyBorder="1" applyProtection="1">
      <protection locked="0"/>
    </xf>
    <xf numFmtId="49" fontId="20" fillId="4" borderId="8" xfId="0" applyNumberFormat="1" applyFont="1" applyFill="1" applyBorder="1" applyProtection="1">
      <protection locked="0"/>
    </xf>
    <xf numFmtId="49" fontId="20" fillId="4" borderId="11" xfId="0" applyNumberFormat="1" applyFont="1" applyFill="1" applyBorder="1" applyProtection="1">
      <protection locked="0"/>
    </xf>
    <xf numFmtId="49" fontId="20" fillId="4" borderId="41" xfId="0" applyNumberFormat="1" applyFont="1" applyFill="1" applyBorder="1" applyProtection="1">
      <protection locked="0"/>
    </xf>
    <xf numFmtId="49" fontId="20" fillId="4" borderId="10" xfId="0" applyNumberFormat="1" applyFont="1" applyFill="1" applyBorder="1" applyProtection="1">
      <protection locked="0"/>
    </xf>
    <xf numFmtId="166" fontId="0" fillId="4" borderId="38" xfId="0" applyNumberFormat="1" applyFill="1" applyBorder="1" applyAlignment="1">
      <alignment horizontal="right"/>
    </xf>
    <xf numFmtId="166" fontId="0" fillId="4" borderId="33" xfId="0" applyNumberFormat="1" applyFill="1" applyBorder="1" applyAlignment="1">
      <alignment horizontal="right"/>
    </xf>
    <xf numFmtId="166" fontId="0" fillId="4" borderId="39" xfId="0" applyNumberFormat="1" applyFill="1" applyBorder="1" applyAlignment="1">
      <alignment horizontal="right"/>
    </xf>
    <xf numFmtId="49" fontId="20" fillId="4" borderId="21" xfId="0" applyNumberFormat="1" applyFont="1" applyFill="1" applyBorder="1" applyProtection="1">
      <protection locked="0"/>
    </xf>
    <xf numFmtId="49" fontId="20" fillId="4" borderId="43" xfId="0" applyNumberFormat="1" applyFont="1" applyFill="1" applyBorder="1" applyProtection="1">
      <protection locked="0"/>
    </xf>
    <xf numFmtId="49" fontId="20" fillId="4" borderId="46" xfId="0" applyNumberFormat="1" applyFont="1" applyFill="1" applyBorder="1" applyProtection="1">
      <protection locked="0"/>
    </xf>
    <xf numFmtId="166" fontId="20" fillId="4" borderId="22" xfId="0" applyNumberFormat="1" applyFont="1" applyFill="1" applyBorder="1" applyProtection="1">
      <protection locked="0"/>
    </xf>
    <xf numFmtId="166" fontId="20" fillId="4" borderId="43" xfId="0" applyNumberFormat="1" applyFont="1" applyFill="1" applyBorder="1" applyProtection="1">
      <protection locked="0"/>
    </xf>
    <xf numFmtId="166" fontId="20" fillId="4" borderId="31" xfId="0" applyNumberFormat="1" applyFont="1" applyFill="1" applyBorder="1" applyProtection="1">
      <protection locked="0"/>
    </xf>
    <xf numFmtId="0" fontId="20" fillId="0" borderId="0" xfId="0" applyFont="1"/>
    <xf numFmtId="0" fontId="10" fillId="2" borderId="10" xfId="0" applyFont="1" applyFill="1" applyBorder="1" applyAlignment="1" applyProtection="1">
      <alignment horizontal="center" vertical="center" textRotation="90" wrapText="1"/>
      <protection locked="0"/>
    </xf>
    <xf numFmtId="0" fontId="10"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20" fillId="4" borderId="45" xfId="0" applyNumberFormat="1" applyFont="1" applyFill="1" applyBorder="1" applyProtection="1">
      <protection locked="0"/>
    </xf>
    <xf numFmtId="1" fontId="20" fillId="4" borderId="10" xfId="0" applyNumberFormat="1" applyFont="1" applyFill="1" applyBorder="1" applyProtection="1">
      <protection locked="0"/>
    </xf>
    <xf numFmtId="1" fontId="20" fillId="4" borderId="11" xfId="0" applyNumberFormat="1" applyFont="1" applyFill="1" applyBorder="1" applyProtection="1">
      <protection locked="0"/>
    </xf>
    <xf numFmtId="1" fontId="20" fillId="4" borderId="29" xfId="0" applyNumberFormat="1" applyFont="1" applyFill="1" applyBorder="1" applyProtection="1">
      <protection locked="0"/>
    </xf>
    <xf numFmtId="1" fontId="20" fillId="4" borderId="21" xfId="0" applyNumberFormat="1" applyFont="1" applyFill="1" applyBorder="1" applyProtection="1">
      <protection locked="0"/>
    </xf>
    <xf numFmtId="1" fontId="20" fillId="4" borderId="31" xfId="0" applyNumberFormat="1" applyFont="1" applyFill="1" applyBorder="1" applyProtection="1">
      <protection locked="0"/>
    </xf>
    <xf numFmtId="49" fontId="35" fillId="0" borderId="18" xfId="0" applyNumberFormat="1" applyFont="1" applyBorder="1" applyAlignment="1" applyProtection="1">
      <alignment horizontal="center" vertical="top" wrapText="1"/>
      <protection locked="0"/>
    </xf>
    <xf numFmtId="49" fontId="11" fillId="5" borderId="13" xfId="0" applyNumberFormat="1" applyFont="1" applyFill="1" applyBorder="1" applyAlignment="1" applyProtection="1">
      <alignment horizontal="center" vertical="top" wrapText="1"/>
      <protection locked="0"/>
    </xf>
    <xf numFmtId="49" fontId="11" fillId="5" borderId="30" xfId="0" applyNumberFormat="1" applyFont="1" applyFill="1" applyBorder="1" applyAlignment="1" applyProtection="1">
      <alignment horizontal="left" vertical="top" wrapText="1"/>
      <protection locked="0"/>
    </xf>
    <xf numFmtId="1" fontId="20"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6" fillId="0" borderId="0" xfId="0" applyFont="1" applyAlignment="1">
      <alignment vertical="top" wrapText="1"/>
    </xf>
    <xf numFmtId="0" fontId="20" fillId="0" borderId="16" xfId="0" applyFont="1" applyBorder="1" applyProtection="1">
      <protection locked="0"/>
    </xf>
    <xf numFmtId="49" fontId="20" fillId="0" borderId="38" xfId="0" applyNumberFormat="1" applyFont="1" applyBorder="1" applyAlignment="1" applyProtection="1">
      <alignment wrapText="1"/>
      <protection locked="0"/>
    </xf>
    <xf numFmtId="49" fontId="25"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20" fillId="4" borderId="41" xfId="0" applyNumberFormat="1" applyFont="1" applyFill="1" applyBorder="1" applyProtection="1">
      <protection locked="0"/>
    </xf>
    <xf numFmtId="2" fontId="20" fillId="0" borderId="36" xfId="0" applyNumberFormat="1" applyFont="1" applyBorder="1" applyProtection="1">
      <protection locked="0"/>
    </xf>
    <xf numFmtId="2" fontId="20" fillId="4" borderId="46" xfId="0" applyNumberFormat="1" applyFont="1" applyFill="1" applyBorder="1" applyProtection="1">
      <protection locked="0"/>
    </xf>
    <xf numFmtId="1" fontId="20" fillId="0" borderId="6" xfId="0" applyNumberFormat="1" applyFont="1" applyBorder="1" applyProtection="1">
      <protection locked="0"/>
    </xf>
    <xf numFmtId="1" fontId="20" fillId="0" borderId="35" xfId="0" applyNumberFormat="1" applyFont="1" applyBorder="1" applyProtection="1">
      <protection locked="0"/>
    </xf>
    <xf numFmtId="0" fontId="20" fillId="0" borderId="6" xfId="0" applyFont="1" applyBorder="1" applyProtection="1">
      <protection locked="0"/>
    </xf>
    <xf numFmtId="0" fontId="20" fillId="0" borderId="35" xfId="0" applyFont="1" applyBorder="1" applyProtection="1">
      <protection locked="0"/>
    </xf>
    <xf numFmtId="1" fontId="0" fillId="0" borderId="16" xfId="0" applyNumberFormat="1" applyBorder="1" applyAlignment="1">
      <alignment horizontal="right" shrinkToFit="1"/>
    </xf>
    <xf numFmtId="0" fontId="10" fillId="2" borderId="40" xfId="0" applyFont="1" applyFill="1" applyBorder="1" applyAlignment="1" applyProtection="1">
      <alignment horizontal="center" vertical="center" wrapText="1"/>
      <protection locked="0"/>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0" fontId="40" fillId="7" borderId="0" xfId="0" applyFont="1" applyFill="1"/>
    <xf numFmtId="0" fontId="41" fillId="6" borderId="0" xfId="0" applyFont="1" applyFill="1"/>
    <xf numFmtId="0" fontId="41" fillId="7" borderId="0" xfId="0" applyFont="1" applyFill="1"/>
    <xf numFmtId="3" fontId="28" fillId="4" borderId="49" xfId="14" applyNumberFormat="1" applyFont="1" applyFill="1" applyBorder="1" applyAlignment="1">
      <alignment horizontal="left" vertical="center"/>
    </xf>
    <xf numFmtId="0" fontId="20" fillId="0" borderId="35" xfId="0" applyFont="1" applyBorder="1" applyAlignment="1" applyProtection="1">
      <alignment wrapText="1"/>
      <protection locked="0"/>
    </xf>
    <xf numFmtId="1" fontId="20"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2" fillId="0" borderId="35" xfId="0" applyNumberFormat="1" applyFont="1" applyBorder="1" applyAlignment="1">
      <alignment horizontal="justify" vertical="center" wrapText="1"/>
    </xf>
    <xf numFmtId="3" fontId="28" fillId="3" borderId="42" xfId="6" applyNumberFormat="1" applyFont="1" applyFill="1" applyBorder="1" applyAlignment="1">
      <alignment horizontal="right" vertical="center"/>
    </xf>
    <xf numFmtId="0" fontId="30" fillId="0" borderId="6" xfId="0" applyFont="1" applyBorder="1" applyAlignment="1">
      <alignment horizontal="justify" vertical="center" wrapText="1"/>
    </xf>
    <xf numFmtId="1" fontId="20" fillId="0" borderId="34" xfId="0" applyNumberFormat="1" applyFont="1" applyBorder="1" applyProtection="1">
      <protection locked="0"/>
    </xf>
    <xf numFmtId="1" fontId="20" fillId="0" borderId="33" xfId="0" applyNumberFormat="1" applyFont="1" applyBorder="1" applyProtection="1">
      <protection locked="0"/>
    </xf>
    <xf numFmtId="1" fontId="20" fillId="0" borderId="19" xfId="0" applyNumberFormat="1" applyFont="1" applyBorder="1" applyProtection="1">
      <protection locked="0"/>
    </xf>
    <xf numFmtId="1" fontId="20" fillId="0" borderId="5" xfId="0" applyNumberFormat="1" applyFont="1" applyBorder="1" applyProtection="1">
      <protection locked="0"/>
    </xf>
    <xf numFmtId="1" fontId="20" fillId="4" borderId="9" xfId="0" applyNumberFormat="1" applyFont="1" applyFill="1" applyBorder="1" applyProtection="1">
      <protection locked="0"/>
    </xf>
    <xf numFmtId="1" fontId="20" fillId="4" borderId="15" xfId="0" applyNumberFormat="1" applyFont="1" applyFill="1" applyBorder="1" applyProtection="1">
      <protection locked="0"/>
    </xf>
    <xf numFmtId="1" fontId="20" fillId="0" borderId="13" xfId="0" applyNumberFormat="1" applyFont="1" applyBorder="1" applyProtection="1">
      <protection locked="0"/>
    </xf>
    <xf numFmtId="1" fontId="20" fillId="0" borderId="15" xfId="0" applyNumberFormat="1" applyFont="1" applyBorder="1" applyProtection="1">
      <protection locked="0"/>
    </xf>
    <xf numFmtId="1" fontId="20" fillId="0" borderId="37" xfId="0" applyNumberFormat="1" applyFont="1" applyBorder="1" applyProtection="1">
      <protection locked="0"/>
    </xf>
    <xf numFmtId="1" fontId="20" fillId="0" borderId="17" xfId="0" applyNumberFormat="1" applyFont="1" applyBorder="1" applyProtection="1">
      <protection locked="0"/>
    </xf>
    <xf numFmtId="1" fontId="20" fillId="0" borderId="30" xfId="0" applyNumberFormat="1" applyFont="1" applyBorder="1" applyProtection="1">
      <protection locked="0"/>
    </xf>
    <xf numFmtId="1" fontId="20" fillId="0" borderId="38" xfId="0" applyNumberFormat="1" applyFont="1" applyBorder="1" applyProtection="1">
      <protection locked="0"/>
    </xf>
    <xf numFmtId="1" fontId="20" fillId="0" borderId="39" xfId="0" applyNumberFormat="1" applyFont="1" applyBorder="1" applyProtection="1">
      <protection locked="0"/>
    </xf>
    <xf numFmtId="1" fontId="20" fillId="0" borderId="36" xfId="0" applyNumberFormat="1" applyFont="1" applyBorder="1" applyProtection="1">
      <protection locked="0"/>
    </xf>
    <xf numFmtId="1" fontId="20" fillId="0" borderId="12" xfId="0" applyNumberFormat="1" applyFont="1" applyBorder="1" applyProtection="1">
      <protection locked="0"/>
    </xf>
    <xf numFmtId="1" fontId="20" fillId="0" borderId="14" xfId="0" applyNumberFormat="1" applyFont="1" applyBorder="1" applyProtection="1">
      <protection locked="0"/>
    </xf>
    <xf numFmtId="1" fontId="0" fillId="0" borderId="39" xfId="0" applyNumberFormat="1" applyBorder="1" applyAlignment="1">
      <alignment horizontal="right"/>
    </xf>
    <xf numFmtId="1" fontId="17" fillId="0" borderId="38" xfId="0" applyNumberFormat="1" applyFont="1" applyBorder="1" applyProtection="1">
      <protection locked="0"/>
    </xf>
    <xf numFmtId="1" fontId="17" fillId="0" borderId="33" xfId="0" applyNumberFormat="1" applyFont="1" applyBorder="1" applyProtection="1">
      <protection locked="0"/>
    </xf>
    <xf numFmtId="1" fontId="17" fillId="0" borderId="34" xfId="0" applyNumberFormat="1" applyFont="1" applyBorder="1" applyProtection="1">
      <protection locked="0"/>
    </xf>
    <xf numFmtId="1" fontId="20" fillId="0" borderId="38" xfId="0" applyNumberFormat="1" applyFont="1" applyBorder="1" applyAlignment="1" applyProtection="1">
      <alignment wrapText="1"/>
      <protection locked="0"/>
    </xf>
    <xf numFmtId="1" fontId="25" fillId="0" borderId="38" xfId="0" applyNumberFormat="1" applyFont="1" applyBorder="1" applyAlignment="1" applyProtection="1">
      <alignment wrapText="1"/>
      <protection locked="0"/>
    </xf>
    <xf numFmtId="1" fontId="20" fillId="0" borderId="16" xfId="0" applyNumberFormat="1" applyFont="1" applyBorder="1" applyProtection="1">
      <protection locked="0"/>
    </xf>
    <xf numFmtId="1" fontId="20" fillId="0" borderId="18" xfId="0" applyNumberFormat="1" applyFont="1" applyBorder="1" applyProtection="1">
      <protection locked="0"/>
    </xf>
    <xf numFmtId="1" fontId="20"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20" fillId="0" borderId="44" xfId="0" applyNumberFormat="1" applyFont="1" applyBorder="1" applyProtection="1">
      <protection locked="0"/>
    </xf>
    <xf numFmtId="1" fontId="20" fillId="0" borderId="39" xfId="0" applyNumberFormat="1" applyFont="1" applyBorder="1" applyAlignment="1" applyProtection="1">
      <alignment wrapText="1"/>
      <protection locked="0"/>
    </xf>
    <xf numFmtId="1" fontId="20" fillId="4" borderId="43" xfId="0" applyNumberFormat="1" applyFont="1" applyFill="1" applyBorder="1" applyProtection="1">
      <protection locked="0"/>
    </xf>
    <xf numFmtId="1" fontId="20" fillId="4" borderId="46" xfId="0" applyNumberFormat="1" applyFont="1" applyFill="1" applyBorder="1" applyProtection="1">
      <protection locked="0"/>
    </xf>
    <xf numFmtId="1" fontId="20" fillId="4" borderId="24" xfId="0" applyNumberFormat="1" applyFont="1" applyFill="1" applyBorder="1" applyProtection="1">
      <protection locked="0"/>
    </xf>
    <xf numFmtId="1" fontId="20" fillId="4" borderId="22" xfId="0" applyNumberFormat="1" applyFont="1" applyFill="1" applyBorder="1" applyProtection="1">
      <protection locked="0"/>
    </xf>
    <xf numFmtId="1" fontId="20"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2" fontId="43" fillId="0" borderId="55"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4" fillId="3" borderId="59" xfId="6" applyNumberFormat="1" applyFont="1" applyFill="1" applyBorder="1" applyAlignment="1">
      <alignment horizontal="right" shrinkToFit="1"/>
    </xf>
    <xf numFmtId="3" fontId="43" fillId="0" borderId="53" xfId="0" applyNumberFormat="1" applyFont="1" applyBorder="1" applyAlignment="1">
      <alignment horizontal="right" shrinkToFit="1"/>
    </xf>
    <xf numFmtId="3" fontId="43" fillId="0" borderId="54" xfId="0" applyNumberFormat="1" applyFont="1" applyBorder="1" applyAlignment="1">
      <alignment horizontal="right" shrinkToFit="1"/>
    </xf>
    <xf numFmtId="3" fontId="43" fillId="0" borderId="55" xfId="0" applyNumberFormat="1" applyFont="1" applyBorder="1" applyAlignment="1">
      <alignment horizontal="right" shrinkToFit="1"/>
    </xf>
    <xf numFmtId="3" fontId="43" fillId="0" borderId="62" xfId="0" applyNumberFormat="1" applyFont="1" applyBorder="1" applyAlignment="1">
      <alignment horizontal="right" shrinkToFit="1"/>
    </xf>
    <xf numFmtId="4" fontId="43" fillId="0" borderId="55" xfId="0" applyNumberFormat="1" applyFont="1" applyBorder="1" applyAlignment="1">
      <alignment horizontal="right" shrinkToFit="1"/>
    </xf>
    <xf numFmtId="4" fontId="43" fillId="0" borderId="44" xfId="0" applyNumberFormat="1" applyFont="1" applyBorder="1" applyAlignment="1">
      <alignment horizontal="right"/>
    </xf>
    <xf numFmtId="4" fontId="43" fillId="0" borderId="65" xfId="0" applyNumberFormat="1" applyFont="1" applyBorder="1" applyAlignment="1">
      <alignment horizontal="right"/>
    </xf>
    <xf numFmtId="2" fontId="43" fillId="0" borderId="65" xfId="0" applyNumberFormat="1" applyFont="1" applyBorder="1" applyAlignment="1">
      <alignment horizontal="right"/>
    </xf>
    <xf numFmtId="2" fontId="43" fillId="0" borderId="14" xfId="0" applyNumberFormat="1" applyFont="1" applyBorder="1" applyAlignment="1">
      <alignment horizontal="right"/>
    </xf>
    <xf numFmtId="2" fontId="43" fillId="0" borderId="16" xfId="0" applyNumberFormat="1" applyFont="1" applyBorder="1" applyAlignment="1">
      <alignment horizontal="right" shrinkToFit="1"/>
    </xf>
    <xf numFmtId="2" fontId="43" fillId="0" borderId="17" xfId="0" applyNumberFormat="1" applyFont="1" applyBorder="1" applyAlignment="1">
      <alignment horizontal="right" shrinkToFit="1"/>
    </xf>
    <xf numFmtId="2" fontId="43" fillId="0" borderId="18" xfId="0" applyNumberFormat="1" applyFont="1" applyBorder="1" applyAlignment="1">
      <alignment horizontal="right" shrinkToFit="1"/>
    </xf>
    <xf numFmtId="10" fontId="46" fillId="0" borderId="53" xfId="0" applyNumberFormat="1" applyFont="1" applyBorder="1" applyAlignment="1">
      <alignment horizontal="right" vertical="top" shrinkToFit="1"/>
    </xf>
    <xf numFmtId="10" fontId="43" fillId="0" borderId="54" xfId="0" applyNumberFormat="1" applyFont="1" applyBorder="1" applyAlignment="1">
      <alignment horizontal="right" shrinkToFit="1"/>
    </xf>
    <xf numFmtId="169" fontId="44" fillId="4" borderId="60" xfId="6" applyNumberFormat="1" applyFont="1" applyFill="1" applyBorder="1" applyAlignment="1">
      <alignment horizontal="right" shrinkToFit="1"/>
    </xf>
    <xf numFmtId="169" fontId="45" fillId="4" borderId="66" xfId="0" applyNumberFormat="1" applyFont="1" applyFill="1" applyBorder="1" applyAlignment="1">
      <alignment horizontal="right" shrinkToFit="1"/>
    </xf>
    <xf numFmtId="169" fontId="45" fillId="4" borderId="67" xfId="0" applyNumberFormat="1" applyFont="1" applyFill="1" applyBorder="1" applyAlignment="1">
      <alignment horizontal="right" shrinkToFit="1"/>
    </xf>
    <xf numFmtId="169" fontId="45" fillId="4" borderId="64" xfId="0" applyNumberFormat="1" applyFont="1" applyFill="1" applyBorder="1" applyAlignment="1">
      <alignment horizontal="right" shrinkToFit="1"/>
    </xf>
    <xf numFmtId="169" fontId="44" fillId="4" borderId="8" xfId="14" applyNumberFormat="1" applyFont="1" applyFill="1" applyBorder="1" applyAlignment="1">
      <alignment horizontal="right" vertical="center" shrinkToFit="1"/>
    </xf>
    <xf numFmtId="169" fontId="44" fillId="4" borderId="9" xfId="14" applyNumberFormat="1" applyFont="1" applyFill="1" applyBorder="1" applyAlignment="1">
      <alignment horizontal="right" vertical="center" shrinkToFit="1"/>
    </xf>
    <xf numFmtId="169" fontId="44" fillId="4" borderId="11" xfId="14" applyNumberFormat="1" applyFont="1" applyFill="1" applyBorder="1" applyAlignment="1">
      <alignment horizontal="right" vertical="center" shrinkToFit="1"/>
    </xf>
    <xf numFmtId="169" fontId="44" fillId="4" borderId="32" xfId="14" applyNumberFormat="1" applyFont="1" applyFill="1" applyBorder="1" applyAlignment="1">
      <alignment horizontal="right" vertical="center" shrinkToFit="1"/>
    </xf>
    <xf numFmtId="170" fontId="0" fillId="0" borderId="16" xfId="0" applyNumberFormat="1" applyBorder="1" applyAlignment="1">
      <alignment horizontal="right" shrinkToFit="1"/>
    </xf>
    <xf numFmtId="3" fontId="0" fillId="0" borderId="17" xfId="0" applyNumberFormat="1" applyBorder="1" applyAlignment="1">
      <alignment horizontal="right" shrinkToFit="1"/>
    </xf>
    <xf numFmtId="171" fontId="20" fillId="0" borderId="6" xfId="0" applyNumberFormat="1" applyFont="1" applyBorder="1" applyProtection="1">
      <protection locked="0"/>
    </xf>
    <xf numFmtId="171" fontId="20" fillId="0" borderId="35" xfId="0" applyNumberFormat="1" applyFont="1" applyBorder="1" applyProtection="1">
      <protection locked="0"/>
    </xf>
    <xf numFmtId="2" fontId="43" fillId="0" borderId="5" xfId="0" applyNumberFormat="1" applyFont="1" applyBorder="1" applyAlignment="1">
      <alignment horizontal="right" shrinkToFit="1"/>
    </xf>
    <xf numFmtId="0" fontId="0" fillId="0" borderId="28" xfId="0" applyBorder="1"/>
    <xf numFmtId="0" fontId="48" fillId="0" borderId="0" xfId="0" applyFont="1" applyAlignment="1">
      <alignment horizontal="left"/>
    </xf>
    <xf numFmtId="0" fontId="48" fillId="0" borderId="0" xfId="0" applyFont="1"/>
    <xf numFmtId="0" fontId="49" fillId="2" borderId="41" xfId="0" applyFont="1" applyFill="1" applyBorder="1" applyAlignment="1">
      <alignment horizontal="center" vertical="center"/>
    </xf>
    <xf numFmtId="0" fontId="50" fillId="0" borderId="0" xfId="0" applyFont="1" applyAlignment="1">
      <alignment horizontal="left" vertical="center"/>
    </xf>
    <xf numFmtId="1" fontId="43" fillId="0" borderId="35" xfId="0" applyNumberFormat="1" applyFont="1" applyBorder="1" applyAlignment="1">
      <alignment horizontal="right" shrinkToFit="1"/>
    </xf>
    <xf numFmtId="49" fontId="47" fillId="0" borderId="0" xfId="0" applyNumberFormat="1" applyFont="1" applyAlignment="1">
      <alignment horizontal="left"/>
    </xf>
    <xf numFmtId="4" fontId="43" fillId="0" borderId="53" xfId="0" applyNumberFormat="1" applyFont="1" applyBorder="1" applyAlignment="1">
      <alignment horizontal="right" shrinkToFit="1"/>
    </xf>
    <xf numFmtId="1" fontId="43" fillId="0" borderId="36" xfId="0" applyNumberFormat="1" applyFont="1" applyBorder="1" applyAlignment="1">
      <alignment horizontal="right"/>
    </xf>
    <xf numFmtId="10" fontId="43"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49" fontId="12" fillId="0" borderId="6" xfId="0" applyNumberFormat="1" applyFont="1" applyBorder="1" applyAlignment="1">
      <alignment horizontal="justify" vertical="center" wrapText="1"/>
    </xf>
    <xf numFmtId="9" fontId="17" fillId="0" borderId="5" xfId="15" applyFont="1" applyBorder="1" applyAlignment="1">
      <alignment horizontal="right" shrinkToFit="1"/>
    </xf>
    <xf numFmtId="10" fontId="45" fillId="4" borderId="66" xfId="0" applyNumberFormat="1" applyFont="1" applyFill="1" applyBorder="1" applyAlignment="1">
      <alignment horizontal="right" shrinkToFit="1"/>
    </xf>
    <xf numFmtId="10" fontId="45" fillId="4" borderId="67" xfId="0" applyNumberFormat="1" applyFont="1" applyFill="1" applyBorder="1" applyAlignment="1">
      <alignment horizontal="right" shrinkToFit="1"/>
    </xf>
    <xf numFmtId="10" fontId="45" fillId="4" borderId="64" xfId="0" applyNumberFormat="1" applyFont="1" applyFill="1" applyBorder="1" applyAlignment="1">
      <alignment horizontal="right" shrinkToFit="1"/>
    </xf>
    <xf numFmtId="0" fontId="0" fillId="0" borderId="46" xfId="0" applyBorder="1" applyProtection="1">
      <protection locked="0"/>
    </xf>
    <xf numFmtId="4" fontId="43" fillId="0" borderId="54" xfId="0" applyNumberFormat="1" applyFont="1" applyBorder="1" applyAlignment="1">
      <alignment horizontal="right" shrinkToFit="1"/>
    </xf>
    <xf numFmtId="169" fontId="44" fillId="4" borderId="10" xfId="14" applyNumberFormat="1" applyFont="1" applyFill="1" applyBorder="1" applyAlignment="1">
      <alignment horizontal="right" vertical="center" shrinkToFit="1"/>
    </xf>
    <xf numFmtId="169" fontId="44" fillId="4" borderId="52" xfId="14" applyNumberFormat="1" applyFont="1" applyFill="1" applyBorder="1" applyAlignment="1">
      <alignment horizontal="right" vertical="center" shrinkToFit="1"/>
    </xf>
    <xf numFmtId="3" fontId="44" fillId="4" borderId="31" xfId="14" applyNumberFormat="1" applyFont="1" applyFill="1" applyBorder="1" applyAlignment="1">
      <alignment horizontal="right" vertical="center" shrinkToFit="1"/>
    </xf>
    <xf numFmtId="10" fontId="44" fillId="4" borderId="70" xfId="0" applyNumberFormat="1" applyFont="1" applyFill="1" applyBorder="1" applyAlignment="1">
      <alignment horizontal="right" shrinkToFit="1"/>
    </xf>
    <xf numFmtId="0" fontId="30" fillId="0" borderId="56" xfId="0" applyFont="1" applyBorder="1" applyAlignment="1">
      <alignment horizontal="justify" vertical="top" wrapText="1"/>
    </xf>
    <xf numFmtId="167" fontId="43" fillId="0" borderId="56" xfId="0" applyNumberFormat="1" applyFont="1" applyBorder="1" applyAlignment="1">
      <alignment horizontal="right" shrinkToFit="1"/>
    </xf>
    <xf numFmtId="10" fontId="43" fillId="0" borderId="71" xfId="0" applyNumberFormat="1" applyFont="1" applyBorder="1" applyAlignment="1">
      <alignment horizontal="right" shrinkToFit="1"/>
    </xf>
    <xf numFmtId="0" fontId="20" fillId="0" borderId="6" xfId="0" applyFont="1" applyBorder="1" applyAlignment="1" applyProtection="1">
      <alignment wrapText="1"/>
      <protection locked="0"/>
    </xf>
    <xf numFmtId="49" fontId="20" fillId="0" borderId="31" xfId="0" applyNumberFormat="1" applyFont="1" applyBorder="1" applyProtection="1">
      <protection locked="0"/>
    </xf>
    <xf numFmtId="10" fontId="44" fillId="4" borderId="40" xfId="14" applyNumberFormat="1" applyFont="1" applyFill="1" applyBorder="1" applyAlignment="1">
      <alignment horizontal="right" vertical="center" shrinkToFit="1"/>
    </xf>
    <xf numFmtId="10" fontId="44" fillId="4" borderId="41" xfId="14" applyNumberFormat="1" applyFont="1" applyFill="1" applyBorder="1" applyAlignment="1">
      <alignment horizontal="right" vertical="center" shrinkToFit="1"/>
    </xf>
    <xf numFmtId="0" fontId="12" fillId="0" borderId="72" xfId="0" applyFont="1" applyBorder="1" applyAlignment="1">
      <alignment horizontal="justify" vertical="top" wrapText="1"/>
    </xf>
    <xf numFmtId="0" fontId="12" fillId="0" borderId="61" xfId="0" applyFont="1" applyBorder="1" applyAlignment="1">
      <alignment horizontal="justify" vertical="top" wrapText="1"/>
    </xf>
    <xf numFmtId="9" fontId="0" fillId="0" borderId="5" xfId="15" applyFont="1" applyBorder="1" applyAlignment="1">
      <alignment horizontal="right" shrinkToFit="1"/>
    </xf>
    <xf numFmtId="1" fontId="20" fillId="4" borderId="40" xfId="0" applyNumberFormat="1" applyFont="1" applyFill="1" applyBorder="1" applyProtection="1">
      <protection locked="0"/>
    </xf>
    <xf numFmtId="169" fontId="44" fillId="4" borderId="40" xfId="14" applyNumberFormat="1" applyFont="1" applyFill="1" applyBorder="1" applyAlignment="1">
      <alignment horizontal="right" vertical="center"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67" fontId="43" fillId="0" borderId="56" xfId="15" applyNumberFormat="1" applyFont="1" applyBorder="1" applyAlignment="1">
      <alignment horizontal="right" shrinkToFit="1"/>
    </xf>
    <xf numFmtId="167" fontId="44" fillId="4" borderId="52" xfId="15" applyNumberFormat="1" applyFont="1" applyFill="1" applyBorder="1" applyAlignment="1">
      <alignment horizontal="right" vertical="center" shrinkToFit="1"/>
    </xf>
    <xf numFmtId="167" fontId="0" fillId="0" borderId="0" xfId="15" applyNumberFormat="1" applyFont="1"/>
    <xf numFmtId="167" fontId="0" fillId="0" borderId="5" xfId="15" applyNumberFormat="1" applyFont="1" applyBorder="1" applyAlignment="1">
      <alignment horizontal="right" shrinkToFit="1"/>
    </xf>
    <xf numFmtId="1" fontId="43" fillId="0" borderId="56" xfId="0" applyNumberFormat="1" applyFont="1" applyBorder="1" applyAlignment="1">
      <alignment horizontal="right" shrinkToFit="1"/>
    </xf>
    <xf numFmtId="1" fontId="44"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7" fontId="44" fillId="4" borderId="9" xfId="14" applyNumberFormat="1" applyFont="1" applyFill="1" applyBorder="1" applyAlignment="1">
      <alignment horizontal="right" vertical="center" shrinkToFit="1"/>
    </xf>
    <xf numFmtId="167" fontId="0" fillId="0" borderId="0" xfId="0" applyNumberFormat="1"/>
    <xf numFmtId="167" fontId="0" fillId="0" borderId="5" xfId="0" applyNumberFormat="1" applyBorder="1" applyAlignment="1">
      <alignment horizontal="right" shrinkToFit="1"/>
    </xf>
    <xf numFmtId="1" fontId="0" fillId="0" borderId="38" xfId="0" applyNumberFormat="1" applyBorder="1" applyAlignment="1">
      <alignment horizontal="right" shrinkToFit="1"/>
    </xf>
    <xf numFmtId="0" fontId="20" fillId="0" borderId="12" xfId="0" applyFont="1" applyBorder="1" applyProtection="1">
      <protection locked="0"/>
    </xf>
    <xf numFmtId="0" fontId="20" fillId="0" borderId="14" xfId="0" applyFont="1" applyBorder="1" applyProtection="1">
      <protection locked="0"/>
    </xf>
    <xf numFmtId="0" fontId="20" fillId="0" borderId="39" xfId="0" applyFont="1" applyBorder="1" applyProtection="1">
      <protection locked="0"/>
    </xf>
    <xf numFmtId="0" fontId="20" fillId="0" borderId="38" xfId="0" applyFont="1" applyBorder="1" applyAlignment="1" applyProtection="1">
      <alignment wrapText="1"/>
      <protection locked="0"/>
    </xf>
    <xf numFmtId="0" fontId="20" fillId="0" borderId="18" xfId="0" applyFont="1" applyBorder="1" applyProtection="1">
      <protection locked="0"/>
    </xf>
    <xf numFmtId="0" fontId="20" fillId="4" borderId="8" xfId="0" applyFont="1" applyFill="1" applyBorder="1" applyProtection="1">
      <protection locked="0"/>
    </xf>
    <xf numFmtId="0" fontId="20" fillId="4" borderId="11" xfId="0" applyFont="1" applyFill="1" applyBorder="1" applyProtection="1">
      <protection locked="0"/>
    </xf>
    <xf numFmtId="0" fontId="20" fillId="4" borderId="41" xfId="0" applyFont="1" applyFill="1" applyBorder="1" applyProtection="1">
      <protection locked="0"/>
    </xf>
    <xf numFmtId="0" fontId="20" fillId="0" borderId="36" xfId="0" applyFont="1" applyBorder="1" applyProtection="1">
      <protection locked="0"/>
    </xf>
    <xf numFmtId="0" fontId="20" fillId="0" borderId="39" xfId="0" applyFont="1" applyBorder="1" applyAlignment="1" applyProtection="1">
      <alignment wrapText="1"/>
      <protection locked="0"/>
    </xf>
    <xf numFmtId="0" fontId="20" fillId="0" borderId="5" xfId="0" applyFont="1" applyBorder="1" applyProtection="1">
      <protection locked="0"/>
    </xf>
    <xf numFmtId="0" fontId="20" fillId="4" borderId="46" xfId="0" applyFont="1" applyFill="1" applyBorder="1" applyProtection="1">
      <protection locked="0"/>
    </xf>
    <xf numFmtId="0" fontId="20" fillId="4" borderId="24" xfId="0" applyFont="1" applyFill="1" applyBorder="1" applyProtection="1">
      <protection locked="0"/>
    </xf>
    <xf numFmtId="2" fontId="48" fillId="0" borderId="0" xfId="0" applyNumberFormat="1" applyFont="1" applyAlignment="1">
      <alignment horizontal="left"/>
    </xf>
    <xf numFmtId="167" fontId="0" fillId="0" borderId="16" xfId="0" applyNumberFormat="1" applyBorder="1" applyAlignment="1">
      <alignment horizontal="right" shrinkToFit="1"/>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3" fontId="43" fillId="0" borderId="56" xfId="0" applyNumberFormat="1" applyFont="1" applyBorder="1" applyAlignment="1">
      <alignment horizontal="right" shrinkToFit="1"/>
    </xf>
    <xf numFmtId="9" fontId="43" fillId="0" borderId="5" xfId="15" applyFont="1" applyBorder="1" applyAlignment="1">
      <alignment horizontal="right" shrinkToFit="1"/>
    </xf>
    <xf numFmtId="2" fontId="20" fillId="0" borderId="12" xfId="0" applyNumberFormat="1" applyFont="1" applyBorder="1" applyProtection="1">
      <protection locked="0"/>
    </xf>
    <xf numFmtId="2" fontId="20" fillId="0" borderId="38" xfId="0" applyNumberFormat="1" applyFont="1" applyBorder="1" applyAlignment="1" applyProtection="1">
      <alignment wrapText="1"/>
      <protection locked="0"/>
    </xf>
    <xf numFmtId="2" fontId="20" fillId="0" borderId="16" xfId="0" applyNumberFormat="1" applyFont="1" applyBorder="1" applyProtection="1">
      <protection locked="0"/>
    </xf>
    <xf numFmtId="3" fontId="28" fillId="4" borderId="4" xfId="14" applyNumberFormat="1" applyFont="1" applyFill="1" applyBorder="1" applyAlignment="1">
      <alignment horizontal="left" vertical="center"/>
    </xf>
    <xf numFmtId="0" fontId="12" fillId="0" borderId="74" xfId="0" applyFont="1" applyBorder="1" applyAlignment="1">
      <alignment horizontal="justify" vertical="top" wrapText="1"/>
    </xf>
    <xf numFmtId="0" fontId="12" fillId="0" borderId="62" xfId="0" applyFont="1" applyBorder="1" applyAlignment="1">
      <alignment horizontal="justify" vertical="top" wrapText="1"/>
    </xf>
    <xf numFmtId="9" fontId="43" fillId="0" borderId="54" xfId="0" applyNumberFormat="1" applyFont="1" applyBorder="1" applyAlignment="1">
      <alignment horizontal="right" shrinkToFit="1"/>
    </xf>
    <xf numFmtId="9" fontId="43" fillId="0" borderId="55" xfId="0" applyNumberFormat="1" applyFont="1" applyBorder="1" applyAlignment="1">
      <alignment horizontal="right" shrinkToFit="1"/>
    </xf>
    <xf numFmtId="0" fontId="0" fillId="9" borderId="0" xfId="0" applyFill="1"/>
    <xf numFmtId="166" fontId="0" fillId="9" borderId="0" xfId="0" applyNumberFormat="1" applyFill="1"/>
    <xf numFmtId="167" fontId="43" fillId="0" borderId="5" xfId="0" applyNumberFormat="1" applyFont="1" applyBorder="1" applyAlignment="1">
      <alignment horizontal="right" shrinkToFit="1"/>
    </xf>
    <xf numFmtId="167" fontId="43" fillId="0" borderId="17" xfId="0" applyNumberFormat="1" applyFont="1" applyBorder="1" applyAlignment="1">
      <alignment horizontal="right" shrinkToFit="1"/>
    </xf>
    <xf numFmtId="167" fontId="43" fillId="0" borderId="19" xfId="0" applyNumberFormat="1" applyFont="1" applyBorder="1" applyAlignment="1">
      <alignment horizontal="right" shrinkToFit="1"/>
    </xf>
    <xf numFmtId="167" fontId="43" fillId="0" borderId="18" xfId="0" applyNumberFormat="1" applyFont="1" applyBorder="1" applyAlignment="1">
      <alignment horizontal="right" shrinkToFit="1"/>
    </xf>
    <xf numFmtId="167" fontId="43" fillId="0" borderId="16" xfId="0" applyNumberFormat="1" applyFont="1" applyBorder="1" applyAlignment="1">
      <alignment horizontal="right" shrinkToFit="1"/>
    </xf>
    <xf numFmtId="167" fontId="45" fillId="4" borderId="75" xfId="0" applyNumberFormat="1" applyFont="1" applyFill="1" applyBorder="1" applyAlignment="1">
      <alignment horizontal="right" shrinkToFit="1"/>
    </xf>
    <xf numFmtId="167" fontId="45" fillId="4" borderId="59" xfId="0" applyNumberFormat="1" applyFont="1" applyFill="1" applyBorder="1" applyAlignment="1">
      <alignment horizontal="right" shrinkToFit="1"/>
    </xf>
    <xf numFmtId="167" fontId="45" fillId="4" borderId="76" xfId="0" applyNumberFormat="1" applyFont="1" applyFill="1" applyBorder="1" applyAlignment="1">
      <alignment horizontal="right" shrinkToFit="1"/>
    </xf>
    <xf numFmtId="167" fontId="44" fillId="4" borderId="42" xfId="0" applyNumberFormat="1" applyFont="1" applyFill="1" applyBorder="1" applyAlignment="1">
      <alignment horizontal="right" vertical="top" shrinkToFit="1"/>
    </xf>
    <xf numFmtId="167" fontId="45" fillId="4" borderId="77" xfId="0" applyNumberFormat="1" applyFont="1" applyFill="1" applyBorder="1" applyAlignment="1">
      <alignment horizontal="right" shrinkToFit="1"/>
    </xf>
    <xf numFmtId="167" fontId="44" fillId="4" borderId="60" xfId="0" applyNumberFormat="1" applyFont="1" applyFill="1" applyBorder="1" applyAlignment="1">
      <alignment horizontal="right" vertical="top"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169" fontId="43" fillId="0" borderId="19" xfId="0" applyNumberFormat="1" applyFont="1" applyBorder="1" applyAlignment="1">
      <alignment horizontal="right" shrinkToFit="1"/>
    </xf>
    <xf numFmtId="169" fontId="45" fillId="4" borderId="79" xfId="15" applyNumberFormat="1" applyFont="1" applyFill="1" applyBorder="1" applyAlignment="1">
      <alignment horizontal="right" shrinkToFit="1"/>
    </xf>
    <xf numFmtId="169" fontId="45" fillId="4" borderId="80" xfId="15" applyNumberFormat="1" applyFont="1" applyFill="1" applyBorder="1" applyAlignment="1">
      <alignment horizontal="right" shrinkToFit="1"/>
    </xf>
    <xf numFmtId="169" fontId="45" fillId="4" borderId="81" xfId="15" applyNumberFormat="1" applyFont="1" applyFill="1" applyBorder="1" applyAlignment="1">
      <alignment horizontal="right" shrinkToFit="1"/>
    </xf>
    <xf numFmtId="169" fontId="44" fillId="4" borderId="82" xfId="15" applyNumberFormat="1" applyFont="1" applyFill="1" applyBorder="1" applyAlignment="1">
      <alignment horizontal="right" shrinkToFit="1"/>
    </xf>
    <xf numFmtId="0" fontId="52" fillId="0" borderId="26" xfId="0" applyFont="1" applyBorder="1"/>
    <xf numFmtId="0" fontId="53" fillId="0" borderId="25" xfId="0" applyFont="1" applyBorder="1"/>
    <xf numFmtId="0" fontId="54" fillId="0" borderId="22" xfId="0" applyFont="1" applyBorder="1" applyAlignment="1">
      <alignment horizontal="right"/>
    </xf>
    <xf numFmtId="0" fontId="55" fillId="0" borderId="5" xfId="0" applyFont="1" applyBorder="1" applyAlignment="1">
      <alignment horizontal="center"/>
    </xf>
    <xf numFmtId="0" fontId="54" fillId="0" borderId="5" xfId="0" applyFont="1" applyBorder="1"/>
    <xf numFmtId="0" fontId="55" fillId="0" borderId="5" xfId="0" applyFont="1" applyBorder="1"/>
    <xf numFmtId="0" fontId="52" fillId="0" borderId="0" xfId="0" applyFont="1"/>
    <xf numFmtId="0" fontId="52" fillId="0" borderId="27" xfId="0" applyFont="1" applyBorder="1"/>
    <xf numFmtId="0" fontId="56" fillId="0" borderId="27" xfId="0" applyFont="1" applyBorder="1"/>
    <xf numFmtId="49" fontId="52" fillId="0" borderId="0" xfId="0" applyNumberFormat="1" applyFont="1"/>
    <xf numFmtId="49" fontId="52" fillId="0" borderId="26" xfId="0" applyNumberFormat="1" applyFont="1" applyBorder="1"/>
    <xf numFmtId="49" fontId="51" fillId="0" borderId="26" xfId="0" applyNumberFormat="1" applyFont="1" applyBorder="1" applyAlignment="1">
      <alignment horizontal="center"/>
    </xf>
    <xf numFmtId="0" fontId="56" fillId="0" borderId="26" xfId="0" applyFont="1" applyBorder="1"/>
    <xf numFmtId="49" fontId="56" fillId="0" borderId="1" xfId="0" applyNumberFormat="1" applyFont="1" applyBorder="1"/>
    <xf numFmtId="49" fontId="56" fillId="0" borderId="27" xfId="0" applyNumberFormat="1" applyFont="1" applyBorder="1"/>
    <xf numFmtId="0" fontId="52" fillId="0" borderId="2" xfId="0" applyFont="1" applyBorder="1"/>
    <xf numFmtId="0" fontId="56" fillId="0" borderId="28" xfId="0" applyFont="1" applyBorder="1"/>
    <xf numFmtId="0" fontId="52" fillId="0" borderId="3" xfId="0" applyFont="1" applyBorder="1"/>
    <xf numFmtId="0" fontId="52" fillId="0" borderId="4" xfId="0" applyFont="1" applyBorder="1"/>
    <xf numFmtId="0" fontId="54" fillId="0" borderId="93" xfId="0" applyFont="1" applyBorder="1" applyAlignment="1">
      <alignment horizontal="right"/>
    </xf>
    <xf numFmtId="0" fontId="55" fillId="0" borderId="94" xfId="0" applyFont="1" applyBorder="1" applyProtection="1">
      <protection locked="0"/>
    </xf>
    <xf numFmtId="0" fontId="54" fillId="0" borderId="16" xfId="0" applyFont="1" applyBorder="1" applyAlignment="1">
      <alignment horizontal="right"/>
    </xf>
    <xf numFmtId="0" fontId="55" fillId="0" borderId="18" xfId="0" applyFont="1" applyBorder="1" applyProtection="1">
      <protection locked="0"/>
    </xf>
    <xf numFmtId="0" fontId="57" fillId="0" borderId="0" xfId="0" applyFont="1" applyAlignment="1">
      <alignment vertical="center"/>
    </xf>
    <xf numFmtId="49" fontId="58" fillId="0" borderId="0" xfId="0" applyNumberFormat="1" applyFont="1"/>
    <xf numFmtId="0" fontId="57" fillId="0" borderId="0" xfId="0" applyFont="1"/>
    <xf numFmtId="0" fontId="62" fillId="2" borderId="41" xfId="0" applyFont="1" applyFill="1" applyBorder="1" applyAlignment="1">
      <alignment horizontal="center" vertical="center"/>
    </xf>
    <xf numFmtId="0" fontId="60" fillId="2" borderId="95" xfId="0" applyFont="1" applyFill="1" applyBorder="1" applyAlignment="1">
      <alignment horizontal="center" vertical="center" wrapText="1"/>
    </xf>
    <xf numFmtId="0" fontId="63" fillId="2" borderId="95" xfId="0" applyFont="1" applyFill="1" applyBorder="1" applyAlignment="1">
      <alignment horizontal="center" vertical="center" wrapText="1"/>
    </xf>
    <xf numFmtId="0" fontId="63" fillId="2" borderId="96" xfId="0" applyFont="1" applyFill="1" applyBorder="1" applyAlignment="1">
      <alignment horizontal="center" vertical="center" wrapText="1"/>
    </xf>
    <xf numFmtId="0" fontId="60" fillId="0" borderId="6" xfId="0" applyFont="1" applyBorder="1" applyAlignment="1">
      <alignment horizontal="justify" vertical="top" wrapText="1"/>
    </xf>
    <xf numFmtId="1" fontId="52" fillId="0" borderId="38" xfId="0" applyNumberFormat="1" applyFont="1" applyBorder="1" applyAlignment="1">
      <alignment shrinkToFit="1"/>
    </xf>
    <xf numFmtId="1" fontId="52" fillId="0" borderId="44" xfId="0" applyNumberFormat="1" applyFont="1" applyBorder="1" applyAlignment="1">
      <alignment horizontal="right" shrinkToFit="1"/>
    </xf>
    <xf numFmtId="2" fontId="52" fillId="0" borderId="50" xfId="0" applyNumberFormat="1" applyFont="1" applyBorder="1" applyAlignment="1">
      <alignment horizontal="right" shrinkToFit="1"/>
    </xf>
    <xf numFmtId="1" fontId="52" fillId="0" borderId="50" xfId="0" applyNumberFormat="1" applyFont="1" applyBorder="1" applyAlignment="1">
      <alignment horizontal="right" shrinkToFit="1"/>
    </xf>
    <xf numFmtId="0" fontId="63" fillId="2" borderId="36" xfId="0" applyFont="1" applyFill="1" applyBorder="1" applyAlignment="1">
      <alignment horizontal="center" vertical="center" wrapText="1"/>
    </xf>
    <xf numFmtId="0" fontId="57" fillId="0" borderId="6" xfId="0" applyFont="1" applyBorder="1" applyAlignment="1">
      <alignment horizontal="justify" vertical="top" wrapText="1"/>
    </xf>
    <xf numFmtId="3" fontId="52" fillId="0" borderId="16" xfId="0" applyNumberFormat="1" applyFont="1" applyBorder="1" applyAlignment="1">
      <alignment horizontal="right" shrinkToFit="1"/>
    </xf>
    <xf numFmtId="4" fontId="52" fillId="0" borderId="18" xfId="0" applyNumberFormat="1" applyFont="1" applyBorder="1" applyAlignment="1">
      <alignment horizontal="right" shrinkToFit="1"/>
    </xf>
    <xf numFmtId="1" fontId="52" fillId="0" borderId="35" xfId="0" applyNumberFormat="1" applyFont="1" applyBorder="1" applyAlignment="1">
      <alignment horizontal="right" shrinkToFit="1"/>
    </xf>
    <xf numFmtId="3" fontId="52" fillId="0" borderId="61" xfId="0" applyNumberFormat="1" applyFont="1" applyBorder="1" applyAlignment="1">
      <alignment horizontal="right" shrinkToFit="1"/>
    </xf>
    <xf numFmtId="4" fontId="52" fillId="0" borderId="57" xfId="0" applyNumberFormat="1" applyFont="1" applyBorder="1" applyAlignment="1">
      <alignment horizontal="right" shrinkToFit="1"/>
    </xf>
    <xf numFmtId="3" fontId="52" fillId="0" borderId="57" xfId="0" applyNumberFormat="1" applyFont="1" applyBorder="1" applyAlignment="1">
      <alignment horizontal="right" shrinkToFit="1"/>
    </xf>
    <xf numFmtId="3" fontId="52" fillId="0" borderId="6" xfId="0" applyNumberFormat="1" applyFont="1" applyBorder="1" applyAlignment="1">
      <alignment horizontal="right" shrinkToFit="1"/>
    </xf>
    <xf numFmtId="3" fontId="52" fillId="0" borderId="18" xfId="0" applyNumberFormat="1" applyFont="1" applyBorder="1" applyAlignment="1">
      <alignment horizontal="right" shrinkToFit="1"/>
    </xf>
    <xf numFmtId="0" fontId="52" fillId="0" borderId="0" xfId="14" applyFont="1" applyAlignment="1">
      <alignment horizontal="left" vertical="center"/>
    </xf>
    <xf numFmtId="0" fontId="52" fillId="0" borderId="26" xfId="14" applyFont="1" applyBorder="1" applyAlignment="1">
      <alignment horizontal="left" vertical="center"/>
    </xf>
    <xf numFmtId="0" fontId="52" fillId="0" borderId="0" xfId="14" applyFont="1" applyAlignment="1">
      <alignment horizontal="left" vertical="center" wrapText="1"/>
    </xf>
    <xf numFmtId="0" fontId="64" fillId="0" borderId="0" xfId="0" applyFont="1"/>
    <xf numFmtId="49" fontId="58" fillId="0" borderId="0" xfId="0" applyNumberFormat="1" applyFont="1" applyAlignment="1">
      <alignment wrapText="1"/>
    </xf>
    <xf numFmtId="0" fontId="60" fillId="2" borderId="8" xfId="0" applyFont="1" applyFill="1" applyBorder="1" applyAlignment="1">
      <alignment horizontal="center" vertical="center" wrapText="1"/>
    </xf>
    <xf numFmtId="0" fontId="60" fillId="2" borderId="48" xfId="0" applyFont="1" applyFill="1" applyBorder="1" applyAlignment="1">
      <alignment horizontal="center" vertical="center" wrapText="1"/>
    </xf>
    <xf numFmtId="0" fontId="60" fillId="0" borderId="61" xfId="0" applyFont="1" applyBorder="1" applyAlignment="1">
      <alignment horizontal="justify" vertical="top" wrapText="1"/>
    </xf>
    <xf numFmtId="49" fontId="52" fillId="0" borderId="36" xfId="0" applyNumberFormat="1" applyFont="1" applyBorder="1"/>
    <xf numFmtId="10" fontId="52" fillId="0" borderId="18" xfId="0" applyNumberFormat="1" applyFont="1" applyBorder="1" applyAlignment="1">
      <alignment horizontal="right" shrinkToFit="1"/>
    </xf>
    <xf numFmtId="2" fontId="52" fillId="0" borderId="16" xfId="0" applyNumberFormat="1" applyFont="1" applyBorder="1" applyAlignment="1">
      <alignment horizontal="right" shrinkToFit="1"/>
    </xf>
    <xf numFmtId="2" fontId="52" fillId="0" borderId="0" xfId="0" applyNumberFormat="1" applyFont="1"/>
    <xf numFmtId="49" fontId="52" fillId="0" borderId="35" xfId="0" applyNumberFormat="1" applyFont="1" applyBorder="1"/>
    <xf numFmtId="0" fontId="52" fillId="0" borderId="0" xfId="0" applyFont="1" applyAlignment="1">
      <alignment horizontal="center"/>
    </xf>
    <xf numFmtId="0" fontId="58" fillId="2" borderId="0" xfId="0" applyFont="1" applyFill="1" applyAlignment="1">
      <alignment horizontal="left" vertical="center"/>
    </xf>
    <xf numFmtId="0" fontId="52" fillId="0" borderId="44" xfId="0" applyFont="1" applyBorder="1" applyAlignment="1">
      <alignment horizontal="right" shrinkToFit="1"/>
    </xf>
    <xf numFmtId="49" fontId="52" fillId="0" borderId="16" xfId="0" applyNumberFormat="1" applyFont="1" applyBorder="1" applyAlignment="1">
      <alignment horizontal="right" shrinkToFit="1"/>
    </xf>
    <xf numFmtId="3" fontId="52" fillId="0" borderId="39" xfId="0" applyNumberFormat="1" applyFont="1" applyBorder="1" applyAlignment="1">
      <alignment horizontal="right" shrinkToFit="1"/>
    </xf>
    <xf numFmtId="0" fontId="58" fillId="0" borderId="0" xfId="0" applyFont="1" applyAlignment="1">
      <alignment horizontal="left"/>
    </xf>
    <xf numFmtId="1" fontId="52" fillId="0" borderId="44" xfId="0" applyNumberFormat="1" applyFont="1" applyBorder="1" applyAlignment="1">
      <alignment horizontal="right"/>
    </xf>
    <xf numFmtId="1" fontId="52" fillId="0" borderId="65" xfId="0" applyNumberFormat="1" applyFont="1" applyBorder="1" applyAlignment="1">
      <alignment horizontal="right"/>
    </xf>
    <xf numFmtId="1" fontId="52" fillId="0" borderId="50" xfId="0" applyNumberFormat="1" applyFont="1" applyBorder="1" applyAlignment="1">
      <alignment horizontal="right"/>
    </xf>
    <xf numFmtId="3" fontId="52" fillId="0" borderId="38" xfId="0" applyNumberFormat="1" applyFont="1" applyBorder="1" applyAlignment="1">
      <alignment horizontal="right" shrinkToFit="1"/>
    </xf>
    <xf numFmtId="3" fontId="52" fillId="0" borderId="34" xfId="0" applyNumberFormat="1" applyFont="1" applyBorder="1" applyAlignment="1">
      <alignment horizontal="right" shrinkToFit="1"/>
    </xf>
    <xf numFmtId="3" fontId="52" fillId="0" borderId="62" xfId="0" applyNumberFormat="1" applyFont="1" applyBorder="1" applyAlignment="1">
      <alignment horizontal="right" shrinkToFit="1"/>
    </xf>
    <xf numFmtId="0" fontId="58" fillId="0" borderId="0" xfId="0" applyFont="1"/>
    <xf numFmtId="0" fontId="62" fillId="2" borderId="41" xfId="0" applyFont="1" applyFill="1" applyBorder="1" applyAlignment="1">
      <alignment horizontal="left" vertical="center"/>
    </xf>
    <xf numFmtId="2" fontId="52" fillId="0" borderId="61" xfId="0" applyNumberFormat="1" applyFont="1" applyBorder="1" applyAlignment="1">
      <alignment horizontal="right"/>
    </xf>
    <xf numFmtId="2" fontId="52" fillId="0" borderId="62" xfId="0" applyNumberFormat="1" applyFont="1" applyBorder="1" applyAlignment="1">
      <alignment horizontal="right"/>
    </xf>
    <xf numFmtId="2" fontId="52" fillId="0" borderId="57" xfId="0" applyNumberFormat="1" applyFont="1" applyBorder="1" applyAlignment="1">
      <alignment horizontal="right"/>
    </xf>
    <xf numFmtId="2" fontId="52" fillId="0" borderId="6" xfId="0" applyNumberFormat="1" applyFont="1" applyBorder="1" applyAlignment="1">
      <alignment horizontal="right"/>
    </xf>
    <xf numFmtId="4" fontId="52" fillId="0" borderId="16" xfId="0" applyNumberFormat="1" applyFont="1" applyBorder="1" applyAlignment="1">
      <alignment horizontal="right" shrinkToFit="1"/>
    </xf>
    <xf numFmtId="4" fontId="52" fillId="0" borderId="5" xfId="0" applyNumberFormat="1" applyFont="1" applyBorder="1" applyAlignment="1">
      <alignment horizontal="right" shrinkToFit="1"/>
    </xf>
    <xf numFmtId="4" fontId="52" fillId="0" borderId="17" xfId="0" applyNumberFormat="1" applyFont="1" applyBorder="1" applyAlignment="1">
      <alignment horizontal="right" shrinkToFit="1"/>
    </xf>
    <xf numFmtId="4" fontId="52" fillId="0" borderId="35" xfId="0" applyNumberFormat="1" applyFont="1" applyBorder="1" applyAlignment="1">
      <alignment horizontal="right" shrinkToFit="1"/>
    </xf>
    <xf numFmtId="4" fontId="52" fillId="0" borderId="61" xfId="0" applyNumberFormat="1" applyFont="1" applyBorder="1" applyAlignment="1">
      <alignment horizontal="right" shrinkToFit="1"/>
    </xf>
    <xf numFmtId="4" fontId="52" fillId="0" borderId="62" xfId="0" applyNumberFormat="1" applyFont="1" applyBorder="1" applyAlignment="1">
      <alignment horizontal="right" shrinkToFit="1"/>
    </xf>
    <xf numFmtId="4" fontId="52" fillId="0" borderId="6" xfId="0" applyNumberFormat="1" applyFont="1" applyBorder="1" applyAlignment="1">
      <alignment horizontal="right" shrinkToFit="1"/>
    </xf>
    <xf numFmtId="4" fontId="52" fillId="0" borderId="61" xfId="0" applyNumberFormat="1" applyFont="1" applyBorder="1" applyAlignment="1">
      <alignment horizontal="right"/>
    </xf>
    <xf numFmtId="4" fontId="52" fillId="0" borderId="62" xfId="0" applyNumberFormat="1" applyFont="1" applyBorder="1" applyAlignment="1">
      <alignment horizontal="right"/>
    </xf>
    <xf numFmtId="1" fontId="52" fillId="0" borderId="62" xfId="0" applyNumberFormat="1" applyFont="1" applyBorder="1" applyAlignment="1">
      <alignment horizontal="right"/>
    </xf>
    <xf numFmtId="1" fontId="52" fillId="0" borderId="57" xfId="0" applyNumberFormat="1" applyFont="1" applyBorder="1" applyAlignment="1">
      <alignment horizontal="right"/>
    </xf>
    <xf numFmtId="2" fontId="52" fillId="0" borderId="39" xfId="0" applyNumberFormat="1" applyFont="1" applyBorder="1" applyAlignment="1">
      <alignment horizontal="right"/>
    </xf>
    <xf numFmtId="0" fontId="55" fillId="0" borderId="0" xfId="0" applyFont="1" applyAlignment="1">
      <alignment vertical="top" wrapText="1"/>
    </xf>
    <xf numFmtId="167" fontId="52" fillId="0" borderId="16" xfId="0" applyNumberFormat="1" applyFont="1" applyBorder="1" applyAlignment="1">
      <alignment horizontal="right" shrinkToFit="1"/>
    </xf>
    <xf numFmtId="167" fontId="52" fillId="0" borderId="5" xfId="0" applyNumberFormat="1" applyFont="1" applyBorder="1" applyAlignment="1">
      <alignment horizontal="right" shrinkToFit="1"/>
    </xf>
    <xf numFmtId="167" fontId="52" fillId="0" borderId="17" xfId="0" applyNumberFormat="1" applyFont="1" applyBorder="1" applyAlignment="1">
      <alignment horizontal="right" shrinkToFit="1"/>
    </xf>
    <xf numFmtId="167" fontId="65" fillId="0" borderId="53" xfId="0" applyNumberFormat="1" applyFont="1" applyBorder="1" applyAlignment="1">
      <alignment horizontal="right" vertical="top" shrinkToFit="1"/>
    </xf>
    <xf numFmtId="167" fontId="52" fillId="0" borderId="54" xfId="0" applyNumberFormat="1" applyFont="1" applyBorder="1" applyAlignment="1">
      <alignment horizontal="right" shrinkToFit="1"/>
    </xf>
    <xf numFmtId="167" fontId="52" fillId="0" borderId="55" xfId="0" applyNumberFormat="1" applyFont="1" applyBorder="1" applyAlignment="1">
      <alignment horizontal="right" shrinkToFit="1"/>
    </xf>
    <xf numFmtId="167" fontId="52" fillId="0" borderId="18" xfId="0" applyNumberFormat="1" applyFont="1" applyBorder="1" applyAlignment="1">
      <alignment horizontal="right" shrinkToFit="1"/>
    </xf>
    <xf numFmtId="167" fontId="52" fillId="0" borderId="35" xfId="0" applyNumberFormat="1" applyFont="1" applyBorder="1" applyAlignment="1">
      <alignment horizontal="right" shrinkToFit="1"/>
    </xf>
    <xf numFmtId="0" fontId="52" fillId="0" borderId="0" xfId="0" applyFont="1" applyAlignment="1">
      <alignment vertical="top" wrapText="1"/>
    </xf>
    <xf numFmtId="0" fontId="60" fillId="0" borderId="0" xfId="0" applyFont="1" applyAlignment="1">
      <alignment horizontal="center" vertical="center" wrapText="1"/>
    </xf>
    <xf numFmtId="0" fontId="66" fillId="0" borderId="0" xfId="0" applyFont="1" applyAlignment="1">
      <alignment horizontal="justify" vertical="top"/>
    </xf>
    <xf numFmtId="0" fontId="0" fillId="0" borderId="0" xfId="0" applyAlignment="1">
      <alignment horizontal="justify" vertical="top"/>
    </xf>
    <xf numFmtId="0" fontId="60" fillId="0" borderId="83" xfId="0" applyFont="1" applyBorder="1" applyAlignment="1">
      <alignment horizontal="center" vertical="center" wrapText="1"/>
    </xf>
    <xf numFmtId="0" fontId="52" fillId="0" borderId="0" xfId="0" applyFont="1" applyAlignment="1">
      <alignment vertical="center"/>
    </xf>
    <xf numFmtId="49" fontId="20" fillId="0" borderId="39" xfId="0" applyNumberFormat="1" applyFont="1" applyBorder="1" applyAlignment="1" applyProtection="1">
      <alignment wrapText="1"/>
      <protection locked="0"/>
    </xf>
    <xf numFmtId="49" fontId="20" fillId="0" borderId="46" xfId="0" applyNumberFormat="1" applyFont="1" applyBorder="1" applyProtection="1">
      <protection locked="0"/>
    </xf>
    <xf numFmtId="0" fontId="33" fillId="0" borderId="0" xfId="0" applyFont="1"/>
    <xf numFmtId="49" fontId="54" fillId="0" borderId="25" xfId="0" applyNumberFormat="1" applyFont="1" applyBorder="1"/>
    <xf numFmtId="0" fontId="20" fillId="0" borderId="20" xfId="0" applyFont="1" applyBorder="1" applyProtection="1">
      <protection locked="0"/>
    </xf>
    <xf numFmtId="0" fontId="20" fillId="0" borderId="46" xfId="0" applyFont="1" applyBorder="1" applyProtection="1">
      <protection locked="0"/>
    </xf>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0" fontId="43" fillId="0" borderId="55" xfId="0" applyFont="1" applyBorder="1" applyAlignment="1">
      <alignment horizontal="right"/>
    </xf>
    <xf numFmtId="1" fontId="43" fillId="0" borderId="19" xfId="0" applyNumberFormat="1" applyFont="1" applyBorder="1" applyAlignment="1">
      <alignment horizontal="right" shrinkToFit="1"/>
    </xf>
    <xf numFmtId="0" fontId="43" fillId="0" borderId="57" xfId="0" applyFont="1" applyBorder="1" applyAlignment="1">
      <alignment horizontal="right" shrinkToFit="1"/>
    </xf>
    <xf numFmtId="0" fontId="12" fillId="0" borderId="46" xfId="0" applyFont="1" applyBorder="1" applyAlignment="1">
      <alignment horizontal="justify" vertical="top" wrapText="1"/>
    </xf>
    <xf numFmtId="0" fontId="33" fillId="0" borderId="0" xfId="0" applyFont="1" applyAlignment="1">
      <alignment vertical="center"/>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167" fontId="33" fillId="0" borderId="0" xfId="0" applyNumberFormat="1" applyFont="1"/>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3" fontId="33" fillId="0" borderId="5"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3" fontId="33" fillId="0" borderId="34" xfId="0" applyNumberFormat="1" applyFont="1" applyBorder="1" applyAlignment="1">
      <alignment horizontal="right" shrinkToFi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3" fontId="33" fillId="0" borderId="56"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33" fillId="0" borderId="16" xfId="0" applyFont="1" applyBorder="1" applyAlignment="1">
      <alignment horizontal="right" shrinkToFit="1"/>
    </xf>
    <xf numFmtId="0" fontId="70" fillId="0" borderId="0" xfId="0" applyFont="1"/>
    <xf numFmtId="0" fontId="71" fillId="0" borderId="0" xfId="0" applyFont="1" applyAlignment="1">
      <alignment horizontal="left" vertical="center"/>
    </xf>
    <xf numFmtId="0" fontId="71" fillId="2" borderId="41" xfId="0" applyFont="1" applyFill="1" applyBorder="1" applyAlignment="1">
      <alignment horizontal="center" vertical="center"/>
    </xf>
    <xf numFmtId="3" fontId="34" fillId="4" borderId="48" xfId="14" applyNumberFormat="1" applyFont="1" applyFill="1" applyBorder="1" applyAlignment="1">
      <alignment horizontal="left" vertical="center"/>
    </xf>
    <xf numFmtId="0" fontId="12" fillId="0" borderId="0" xfId="14" applyFont="1" applyAlignment="1">
      <alignment horizontal="left" vertical="center"/>
    </xf>
    <xf numFmtId="170" fontId="33" fillId="0" borderId="38" xfId="0" applyNumberFormat="1" applyFont="1" applyBorder="1" applyAlignment="1">
      <alignment horizontal="right" shrinkToFit="1"/>
    </xf>
    <xf numFmtId="0" fontId="33" fillId="0" borderId="38" xfId="0" applyFont="1" applyBorder="1" applyAlignment="1">
      <alignment horizontal="right" shrinkToFit="1"/>
    </xf>
    <xf numFmtId="0" fontId="12" fillId="0" borderId="0" xfId="14" applyFont="1" applyAlignment="1">
      <alignment horizontal="left" vertical="center" wrapText="1"/>
    </xf>
    <xf numFmtId="0" fontId="12" fillId="0" borderId="0" xfId="0" applyFont="1"/>
    <xf numFmtId="0" fontId="72" fillId="0" borderId="0" xfId="0" applyFont="1"/>
    <xf numFmtId="0" fontId="33" fillId="0" borderId="55" xfId="0" applyFont="1" applyBorder="1" applyAlignment="1">
      <alignment horizontal="right" shrinkToFit="1"/>
    </xf>
    <xf numFmtId="0" fontId="33" fillId="0" borderId="46" xfId="0" applyFont="1" applyBorder="1" applyAlignment="1">
      <alignment horizontal="justify" vertical="top" wrapText="1"/>
    </xf>
    <xf numFmtId="169" fontId="44" fillId="4" borderId="66" xfId="0" applyNumberFormat="1" applyFont="1" applyFill="1" applyBorder="1" applyAlignment="1">
      <alignment horizontal="right" shrinkToFit="1"/>
    </xf>
    <xf numFmtId="169" fontId="44" fillId="4" borderId="67" xfId="0" applyNumberFormat="1" applyFont="1" applyFill="1" applyBorder="1" applyAlignment="1">
      <alignment horizontal="right" shrinkToFit="1"/>
    </xf>
    <xf numFmtId="167" fontId="44" fillId="4" borderId="40" xfId="14" applyNumberFormat="1" applyFont="1" applyFill="1" applyBorder="1" applyAlignment="1">
      <alignment horizontal="right" vertical="center" shrinkToFit="1"/>
    </xf>
    <xf numFmtId="0" fontId="44" fillId="4" borderId="11" xfId="14" applyFont="1" applyFill="1" applyBorder="1" applyAlignment="1">
      <alignment horizontal="right" vertical="center" shrinkToFit="1"/>
    </xf>
    <xf numFmtId="0" fontId="42" fillId="0" borderId="0" xfId="0" applyFont="1"/>
    <xf numFmtId="167" fontId="42" fillId="0" borderId="0" xfId="0" applyNumberFormat="1" applyFont="1"/>
    <xf numFmtId="49" fontId="42" fillId="0" borderId="0" xfId="0" applyNumberFormat="1" applyFont="1"/>
    <xf numFmtId="170" fontId="43" fillId="0" borderId="46" xfId="0" applyNumberFormat="1" applyFont="1" applyBorder="1" applyAlignment="1">
      <alignment horizontal="right" shrinkToFit="1"/>
    </xf>
    <xf numFmtId="167" fontId="43" fillId="0" borderId="46" xfId="0" applyNumberFormat="1" applyFont="1" applyBorder="1" applyAlignment="1">
      <alignment horizontal="right" shrinkToFit="1"/>
    </xf>
    <xf numFmtId="9" fontId="43" fillId="0" borderId="46" xfId="0" applyNumberFormat="1" applyFont="1" applyBorder="1" applyAlignment="1">
      <alignment horizontal="right" shrinkToFit="1"/>
    </xf>
    <xf numFmtId="3" fontId="43" fillId="0" borderId="46" xfId="0" applyNumberFormat="1" applyFont="1" applyBorder="1" applyAlignment="1">
      <alignment horizontal="right" shrinkToFit="1"/>
    </xf>
    <xf numFmtId="49" fontId="43" fillId="0" borderId="46" xfId="0" applyNumberFormat="1" applyFont="1" applyBorder="1" applyAlignment="1">
      <alignment horizontal="right" shrinkToFit="1"/>
    </xf>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33" fillId="0" borderId="0" xfId="0" applyNumberFormat="1" applyFont="1"/>
    <xf numFmtId="169" fontId="43" fillId="0" borderId="56" xfId="0" applyNumberFormat="1" applyFont="1" applyBorder="1" applyAlignment="1">
      <alignment horizontal="right"/>
    </xf>
    <xf numFmtId="169" fontId="33" fillId="0" borderId="56" xfId="0" applyNumberFormat="1" applyFont="1" applyBorder="1" applyAlignment="1">
      <alignment horizontal="right" shrinkToFit="1"/>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7" fontId="33" fillId="0" borderId="53" xfId="0" applyNumberFormat="1" applyFont="1" applyBorder="1" applyAlignment="1">
      <alignment horizontal="right"/>
    </xf>
    <xf numFmtId="0" fontId="28" fillId="0" borderId="53" xfId="0" applyFont="1" applyBorder="1" applyAlignment="1">
      <alignment horizontal="justify" vertical="top" wrapText="1"/>
    </xf>
    <xf numFmtId="3" fontId="28" fillId="4" borderId="3" xfId="14" applyNumberFormat="1" applyFont="1" applyFill="1" applyBorder="1" applyAlignment="1">
      <alignment horizontal="left" vertical="center"/>
    </xf>
    <xf numFmtId="3" fontId="33" fillId="0" borderId="13"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33" fillId="0" borderId="38"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169" fontId="42" fillId="0" borderId="0" xfId="0" applyNumberFormat="1" applyFont="1"/>
    <xf numFmtId="169" fontId="43" fillId="0" borderId="46" xfId="0" applyNumberFormat="1" applyFont="1" applyBorder="1" applyAlignment="1">
      <alignment horizontal="right" shrinkToFit="1"/>
    </xf>
    <xf numFmtId="169" fontId="43" fillId="0" borderId="54" xfId="0" applyNumberFormat="1" applyFont="1" applyBorder="1" applyAlignment="1">
      <alignment horizontal="right"/>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44" fillId="4" borderId="32" xfId="14" applyNumberFormat="1" applyFont="1" applyFill="1" applyBorder="1" applyAlignment="1">
      <alignment horizontal="right" vertical="center" shrinkToFit="1"/>
    </xf>
    <xf numFmtId="1" fontId="42" fillId="0" borderId="0" xfId="0" applyNumberFormat="1" applyFont="1"/>
    <xf numFmtId="1" fontId="43" fillId="0" borderId="46" xfId="0" applyNumberFormat="1" applyFont="1" applyBorder="1" applyAlignment="1">
      <alignment horizontal="right" shrinkToFit="1"/>
    </xf>
    <xf numFmtId="1" fontId="33" fillId="0" borderId="0" xfId="0" applyNumberFormat="1" applyFont="1"/>
    <xf numFmtId="1" fontId="33" fillId="0" borderId="62" xfId="0" applyNumberFormat="1" applyFont="1" applyBorder="1" applyAlignment="1">
      <alignment horizontal="right" shrinkToFit="1"/>
    </xf>
    <xf numFmtId="167" fontId="43" fillId="0" borderId="5" xfId="15" applyNumberFormat="1" applyFont="1" applyFill="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43" fillId="0" borderId="19" xfId="15"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62" xfId="15"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9" fontId="52" fillId="0" borderId="0" xfId="15" applyFont="1"/>
    <xf numFmtId="0" fontId="73" fillId="0" borderId="0" xfId="0" applyFont="1" applyAlignment="1">
      <alignment vertical="center"/>
    </xf>
    <xf numFmtId="0" fontId="74" fillId="0" borderId="0" xfId="0" applyFont="1" applyAlignment="1">
      <alignment horizontal="left" vertical="center"/>
    </xf>
    <xf numFmtId="9" fontId="74" fillId="0" borderId="0" xfId="15" applyFont="1" applyAlignment="1">
      <alignment horizontal="left" vertical="center"/>
    </xf>
    <xf numFmtId="0" fontId="73" fillId="0" borderId="0" xfId="0" applyFont="1"/>
    <xf numFmtId="0" fontId="75" fillId="0" borderId="0" xfId="0" applyFont="1"/>
    <xf numFmtId="1" fontId="45" fillId="4" borderId="32" xfId="14" applyNumberFormat="1" applyFont="1" applyFill="1" applyBorder="1" applyAlignment="1">
      <alignment horizontal="right" vertical="center" shrinkToFit="1"/>
    </xf>
    <xf numFmtId="1" fontId="43" fillId="0" borderId="0" xfId="0" applyNumberFormat="1" applyFont="1"/>
    <xf numFmtId="0" fontId="43" fillId="0" borderId="51" xfId="0" applyFont="1" applyBorder="1" applyAlignment="1">
      <alignment horizontal="right" shrinkToFit="1"/>
    </xf>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33" fillId="0" borderId="99" xfId="0" applyNumberFormat="1" applyFont="1" applyBorder="1" applyAlignment="1">
      <alignment horizontal="right" shrinkToFit="1"/>
    </xf>
    <xf numFmtId="2" fontId="20" fillId="0" borderId="6" xfId="0" applyNumberFormat="1" applyFont="1" applyBorder="1" applyProtection="1">
      <protection locked="0"/>
    </xf>
    <xf numFmtId="2" fontId="0" fillId="0" borderId="0" xfId="0" applyNumberFormat="1" applyProtection="1">
      <protection locked="0"/>
    </xf>
    <xf numFmtId="2" fontId="20" fillId="4" borderId="9" xfId="0" applyNumberFormat="1" applyFont="1" applyFill="1" applyBorder="1" applyProtection="1">
      <protection locked="0"/>
    </xf>
    <xf numFmtId="3" fontId="43" fillId="14" borderId="19" xfId="0" applyNumberFormat="1" applyFont="1" applyFill="1" applyBorder="1" applyAlignment="1">
      <alignment horizontal="right" shrinkToFit="1"/>
    </xf>
    <xf numFmtId="0" fontId="30" fillId="15" borderId="98" xfId="0" applyFont="1" applyFill="1" applyBorder="1" applyAlignment="1">
      <alignment vertical="center" wrapText="1"/>
    </xf>
    <xf numFmtId="1" fontId="0" fillId="0" borderId="0" xfId="0" applyNumberFormat="1" applyProtection="1">
      <protection locked="0"/>
    </xf>
    <xf numFmtId="1" fontId="30" fillId="15" borderId="98" xfId="0" applyNumberFormat="1" applyFont="1" applyFill="1" applyBorder="1" applyAlignment="1">
      <alignment vertical="center" wrapText="1"/>
    </xf>
    <xf numFmtId="1" fontId="20" fillId="0" borderId="46" xfId="0" applyNumberFormat="1" applyFont="1" applyBorder="1" applyProtection="1">
      <protection locked="0"/>
    </xf>
    <xf numFmtId="0" fontId="33" fillId="0" borderId="0" xfId="0" applyFont="1" applyAlignment="1">
      <alignment vertical="center" wrapText="1"/>
    </xf>
    <xf numFmtId="0" fontId="49" fillId="0" borderId="0" xfId="0" applyFont="1" applyAlignment="1">
      <alignment horizontal="left" vertical="center" wrapText="1"/>
    </xf>
    <xf numFmtId="0" fontId="33" fillId="0" borderId="0" xfId="0" applyFont="1" applyAlignment="1">
      <alignment wrapText="1"/>
    </xf>
    <xf numFmtId="0" fontId="0" fillId="0" borderId="0" xfId="0" applyAlignment="1">
      <alignment wrapText="1"/>
    </xf>
    <xf numFmtId="169" fontId="33" fillId="0" borderId="0" xfId="0" applyNumberFormat="1" applyFont="1" applyAlignment="1">
      <alignment wrapText="1"/>
    </xf>
    <xf numFmtId="167" fontId="33" fillId="0" borderId="0" xfId="0" applyNumberFormat="1" applyFont="1" applyAlignment="1">
      <alignment wrapText="1"/>
    </xf>
    <xf numFmtId="0" fontId="69" fillId="0" borderId="0" xfId="0" applyFont="1" applyAlignment="1">
      <alignment horizontal="left" wrapText="1"/>
    </xf>
    <xf numFmtId="0" fontId="69" fillId="0" borderId="0" xfId="0" applyFont="1" applyAlignment="1">
      <alignment wrapText="1"/>
    </xf>
    <xf numFmtId="0" fontId="48" fillId="0" borderId="0" xfId="0" applyFont="1" applyAlignment="1">
      <alignment horizontal="left" wrapText="1"/>
    </xf>
    <xf numFmtId="169" fontId="69" fillId="0" borderId="0" xfId="0" applyNumberFormat="1" applyFont="1" applyAlignment="1">
      <alignment horizontal="left" wrapText="1"/>
    </xf>
    <xf numFmtId="167" fontId="69" fillId="0" borderId="0" xfId="0" applyNumberFormat="1" applyFont="1" applyAlignment="1">
      <alignment horizontal="left" wrapText="1"/>
    </xf>
    <xf numFmtId="0" fontId="69" fillId="0" borderId="0" xfId="0" applyFont="1" applyAlignment="1">
      <alignment horizontal="left" vertical="center" wrapText="1"/>
    </xf>
    <xf numFmtId="49" fontId="33" fillId="0" borderId="0" xfId="0" applyNumberFormat="1" applyFont="1" applyAlignment="1">
      <alignment horizontal="left" wrapText="1"/>
    </xf>
    <xf numFmtId="49" fontId="33" fillId="0" borderId="0" xfId="0" applyNumberFormat="1" applyFont="1" applyAlignment="1">
      <alignment wrapText="1"/>
    </xf>
    <xf numFmtId="2" fontId="69" fillId="0" borderId="0" xfId="0" applyNumberFormat="1" applyFont="1" applyAlignment="1">
      <alignment horizontal="left" wrapText="1"/>
    </xf>
    <xf numFmtId="2" fontId="48" fillId="0" borderId="0" xfId="0" applyNumberFormat="1" applyFont="1" applyAlignment="1">
      <alignment horizontal="left"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41" xfId="0" applyFont="1" applyFill="1" applyBorder="1" applyAlignment="1">
      <alignment horizontal="center" vertical="center" wrapText="1"/>
    </xf>
    <xf numFmtId="0" fontId="33" fillId="0" borderId="36" xfId="0" applyFont="1" applyBorder="1" applyAlignment="1">
      <alignment vertical="center" wrapText="1"/>
    </xf>
    <xf numFmtId="167" fontId="33" fillId="0" borderId="56" xfId="0" applyNumberFormat="1" applyFont="1" applyBorder="1" applyAlignment="1">
      <alignment horizontal="right" wrapText="1"/>
    </xf>
    <xf numFmtId="1" fontId="43" fillId="0" borderId="53" xfId="0" applyNumberFormat="1" applyFont="1" applyBorder="1" applyAlignment="1">
      <alignment horizontal="right" wrapText="1" shrinkToFit="1"/>
    </xf>
    <xf numFmtId="1" fontId="43" fillId="0" borderId="54" xfId="0" applyNumberFormat="1" applyFont="1" applyBorder="1" applyAlignment="1">
      <alignment horizontal="right" wrapText="1" shrinkToFit="1"/>
    </xf>
    <xf numFmtId="169" fontId="43" fillId="0" borderId="54" xfId="0" applyNumberFormat="1" applyFont="1" applyBorder="1" applyAlignment="1">
      <alignment horizontal="right" wrapText="1" shrinkToFit="1"/>
    </xf>
    <xf numFmtId="167" fontId="43" fillId="0" borderId="54" xfId="0" applyNumberFormat="1" applyFont="1" applyBorder="1" applyAlignment="1">
      <alignment horizontal="right" wrapText="1" shrinkToFit="1"/>
    </xf>
    <xf numFmtId="2" fontId="43" fillId="0" borderId="53" xfId="0" applyNumberFormat="1" applyFont="1" applyBorder="1" applyAlignment="1">
      <alignment horizontal="right" wrapText="1"/>
    </xf>
    <xf numFmtId="167" fontId="43" fillId="0" borderId="54" xfId="0" applyNumberFormat="1" applyFont="1" applyBorder="1" applyAlignment="1">
      <alignment horizontal="right" wrapText="1"/>
    </xf>
    <xf numFmtId="1" fontId="43" fillId="0" borderId="56" xfId="0" applyNumberFormat="1" applyFont="1" applyBorder="1" applyAlignment="1">
      <alignment horizontal="right" wrapText="1" shrinkToFit="1"/>
    </xf>
    <xf numFmtId="1" fontId="43" fillId="0" borderId="55" xfId="0" applyNumberFormat="1" applyFont="1" applyBorder="1" applyAlignment="1">
      <alignment horizontal="right" wrapText="1" shrinkToFit="1"/>
    </xf>
    <xf numFmtId="3" fontId="43" fillId="0" borderId="17" xfId="0" applyNumberFormat="1" applyFont="1" applyBorder="1" applyAlignment="1">
      <alignment horizontal="right" wrapText="1" shrinkToFit="1"/>
    </xf>
    <xf numFmtId="3" fontId="43" fillId="0" borderId="18" xfId="0" applyNumberFormat="1" applyFont="1" applyBorder="1" applyAlignment="1">
      <alignment horizontal="right" wrapText="1" shrinkToFit="1"/>
    </xf>
    <xf numFmtId="1" fontId="43" fillId="0" borderId="54" xfId="0" applyNumberFormat="1" applyFont="1" applyBorder="1" applyAlignment="1">
      <alignment horizontal="right" wrapText="1"/>
    </xf>
    <xf numFmtId="1" fontId="43" fillId="0" borderId="55" xfId="0" applyNumberFormat="1" applyFont="1" applyBorder="1" applyAlignment="1">
      <alignment horizontal="right" wrapText="1"/>
    </xf>
    <xf numFmtId="167" fontId="43" fillId="0" borderId="56" xfId="0" applyNumberFormat="1" applyFont="1" applyBorder="1" applyAlignment="1">
      <alignment horizontal="right" wrapText="1"/>
    </xf>
    <xf numFmtId="9" fontId="43" fillId="0" borderId="56" xfId="15" applyFont="1" applyBorder="1" applyAlignment="1">
      <alignment horizontal="right" wrapText="1"/>
    </xf>
    <xf numFmtId="169" fontId="43" fillId="0" borderId="56" xfId="15" applyNumberFormat="1" applyFont="1" applyBorder="1" applyAlignment="1">
      <alignment horizontal="right" wrapText="1"/>
    </xf>
    <xf numFmtId="49" fontId="43" fillId="0" borderId="56" xfId="0" applyNumberFormat="1" applyFont="1" applyBorder="1" applyAlignment="1">
      <alignment horizontal="right" wrapText="1"/>
    </xf>
    <xf numFmtId="0" fontId="43" fillId="0" borderId="56" xfId="0" applyFont="1" applyBorder="1" applyAlignment="1">
      <alignment horizontal="right" wrapText="1"/>
    </xf>
    <xf numFmtId="49" fontId="33" fillId="0" borderId="29" xfId="0" applyNumberFormat="1" applyFont="1" applyBorder="1" applyAlignment="1" applyProtection="1">
      <alignment wrapText="1"/>
      <protection locked="0"/>
    </xf>
    <xf numFmtId="1" fontId="43" fillId="0" borderId="5" xfId="0" applyNumberFormat="1" applyFont="1" applyBorder="1" applyAlignment="1">
      <alignment horizontal="right" wrapText="1" shrinkToFit="1"/>
    </xf>
    <xf numFmtId="3" fontId="43" fillId="0" borderId="16" xfId="0" applyNumberFormat="1" applyFont="1" applyBorder="1" applyAlignment="1">
      <alignment horizontal="right" wrapText="1" shrinkToFit="1"/>
    </xf>
    <xf numFmtId="3" fontId="43" fillId="0" borderId="72" xfId="0" applyNumberFormat="1" applyFont="1" applyBorder="1" applyAlignment="1">
      <alignment horizontal="right" wrapText="1" shrinkToFit="1"/>
    </xf>
    <xf numFmtId="3" fontId="43" fillId="0" borderId="5" xfId="0" applyNumberFormat="1" applyFont="1" applyBorder="1" applyAlignment="1">
      <alignment horizontal="right" wrapText="1" shrinkToFit="1"/>
    </xf>
    <xf numFmtId="167" fontId="43" fillId="0" borderId="5" xfId="0" applyNumberFormat="1" applyFont="1" applyBorder="1" applyAlignment="1">
      <alignment horizontal="right" wrapText="1" shrinkToFit="1"/>
    </xf>
    <xf numFmtId="167" fontId="43" fillId="0" borderId="5" xfId="15" applyNumberFormat="1" applyFont="1" applyFill="1" applyBorder="1" applyAlignment="1">
      <alignment horizontal="right" wrapText="1" shrinkToFit="1"/>
    </xf>
    <xf numFmtId="1" fontId="43" fillId="0" borderId="16" xfId="0" applyNumberFormat="1" applyFont="1" applyBorder="1" applyAlignment="1">
      <alignment horizontal="right" wrapText="1" shrinkToFit="1"/>
    </xf>
    <xf numFmtId="1" fontId="43" fillId="0" borderId="18" xfId="0" applyNumberFormat="1" applyFont="1" applyBorder="1" applyAlignment="1">
      <alignment horizontal="right" wrapText="1" shrinkToFit="1"/>
    </xf>
    <xf numFmtId="3" fontId="43" fillId="0" borderId="19" xfId="0" applyNumberFormat="1" applyFont="1" applyBorder="1" applyAlignment="1">
      <alignment horizontal="right" wrapText="1" shrinkToFit="1"/>
    </xf>
    <xf numFmtId="3" fontId="43" fillId="0" borderId="51" xfId="0" applyNumberFormat="1" applyFont="1" applyBorder="1" applyAlignment="1">
      <alignment horizontal="right" wrapText="1" shrinkToFit="1"/>
    </xf>
    <xf numFmtId="2" fontId="43" fillId="0" borderId="16" xfId="0" applyNumberFormat="1" applyFont="1" applyBorder="1" applyAlignment="1">
      <alignment horizontal="right" wrapText="1" shrinkToFit="1"/>
    </xf>
    <xf numFmtId="2" fontId="43" fillId="0" borderId="5" xfId="0" applyNumberFormat="1" applyFont="1" applyBorder="1" applyAlignment="1">
      <alignment horizontal="right" wrapText="1" shrinkToFit="1"/>
    </xf>
    <xf numFmtId="167" fontId="43" fillId="0" borderId="35" xfId="0" applyNumberFormat="1" applyFont="1" applyBorder="1" applyAlignment="1">
      <alignment horizontal="right" wrapText="1" shrinkToFit="1"/>
    </xf>
    <xf numFmtId="167" fontId="43" fillId="0" borderId="35" xfId="15" applyNumberFormat="1" applyFont="1" applyFill="1" applyBorder="1" applyAlignment="1">
      <alignment horizontal="right" wrapText="1" shrinkToFit="1"/>
    </xf>
    <xf numFmtId="169" fontId="43" fillId="0" borderId="35" xfId="15" applyNumberFormat="1" applyFont="1" applyFill="1" applyBorder="1" applyAlignment="1">
      <alignment horizontal="right" wrapText="1" shrinkToFit="1"/>
    </xf>
    <xf numFmtId="1" fontId="43" fillId="0" borderId="35" xfId="0" applyNumberFormat="1" applyFont="1" applyBorder="1" applyAlignment="1">
      <alignment horizontal="right" wrapText="1" shrinkToFit="1"/>
    </xf>
    <xf numFmtId="0" fontId="43" fillId="0" borderId="35" xfId="0" applyFont="1" applyBorder="1" applyAlignment="1">
      <alignment horizontal="right" wrapText="1" shrinkToFit="1"/>
    </xf>
    <xf numFmtId="1" fontId="33" fillId="0" borderId="6" xfId="0" applyNumberFormat="1" applyFont="1" applyBorder="1" applyAlignment="1" applyProtection="1">
      <alignment wrapText="1"/>
      <protection locked="0"/>
    </xf>
    <xf numFmtId="167" fontId="43" fillId="0" borderId="5" xfId="15" applyNumberFormat="1" applyFont="1" applyBorder="1" applyAlignment="1">
      <alignment horizontal="right" wrapText="1" shrinkToFit="1"/>
    </xf>
    <xf numFmtId="3" fontId="28" fillId="3" borderId="42" xfId="6" applyNumberFormat="1" applyFont="1" applyFill="1" applyBorder="1" applyAlignment="1">
      <alignment horizontal="right" vertical="center" wrapText="1"/>
    </xf>
    <xf numFmtId="3" fontId="28" fillId="3" borderId="75" xfId="6" applyNumberFormat="1" applyFont="1" applyFill="1" applyBorder="1" applyAlignment="1">
      <alignment horizontal="right" wrapText="1" shrinkToFit="1"/>
    </xf>
    <xf numFmtId="2" fontId="33" fillId="4" borderId="41" xfId="0" applyNumberFormat="1" applyFont="1" applyFill="1" applyBorder="1" applyAlignment="1" applyProtection="1">
      <alignment wrapText="1"/>
      <protection locked="0"/>
    </xf>
    <xf numFmtId="167" fontId="33" fillId="0" borderId="56" xfId="0" applyNumberFormat="1" applyFont="1" applyBorder="1" applyAlignment="1">
      <alignment horizontal="right" wrapText="1" shrinkToFit="1"/>
    </xf>
    <xf numFmtId="3" fontId="33" fillId="0" borderId="53" xfId="0" applyNumberFormat="1" applyFont="1" applyBorder="1" applyAlignment="1">
      <alignment horizontal="right" wrapText="1" shrinkToFit="1"/>
    </xf>
    <xf numFmtId="1" fontId="33" fillId="0" borderId="54" xfId="0" applyNumberFormat="1" applyFont="1" applyBorder="1" applyAlignment="1">
      <alignment horizontal="right" wrapText="1" shrinkToFit="1"/>
    </xf>
    <xf numFmtId="1" fontId="33" fillId="0" borderId="53" xfId="0" applyNumberFormat="1" applyFont="1" applyBorder="1" applyAlignment="1">
      <alignment horizontal="right" wrapText="1" shrinkToFit="1"/>
    </xf>
    <xf numFmtId="167" fontId="33" fillId="0" borderId="54" xfId="0" applyNumberFormat="1" applyFont="1" applyBorder="1" applyAlignment="1">
      <alignment horizontal="right" wrapText="1" shrinkToFit="1"/>
    </xf>
    <xf numFmtId="9" fontId="43" fillId="0" borderId="5" xfId="15" applyFont="1" applyBorder="1" applyAlignment="1">
      <alignment horizontal="right" wrapText="1" shrinkToFit="1"/>
    </xf>
    <xf numFmtId="167" fontId="43" fillId="0" borderId="35" xfId="15" applyNumberFormat="1" applyFont="1" applyBorder="1" applyAlignment="1">
      <alignment horizontal="right" wrapText="1" shrinkToFit="1"/>
    </xf>
    <xf numFmtId="169" fontId="33" fillId="0" borderId="56" xfId="15" applyNumberFormat="1" applyFont="1" applyBorder="1" applyAlignment="1">
      <alignment horizontal="right" wrapText="1" shrinkToFit="1"/>
    </xf>
    <xf numFmtId="2" fontId="33" fillId="0" borderId="36" xfId="0" applyNumberFormat="1" applyFont="1" applyBorder="1" applyAlignment="1" applyProtection="1">
      <alignment wrapText="1"/>
      <protection locked="0"/>
    </xf>
    <xf numFmtId="1" fontId="43" fillId="14" borderId="35" xfId="0" applyNumberFormat="1" applyFont="1" applyFill="1" applyBorder="1" applyAlignment="1">
      <alignment horizontal="right" wrapText="1" shrinkToFit="1"/>
    </xf>
    <xf numFmtId="3" fontId="43" fillId="14" borderId="16" xfId="0" applyNumberFormat="1" applyFont="1" applyFill="1" applyBorder="1" applyAlignment="1">
      <alignment horizontal="right" wrapText="1" shrinkToFit="1"/>
    </xf>
    <xf numFmtId="3" fontId="43" fillId="14" borderId="72" xfId="0" applyNumberFormat="1" applyFont="1" applyFill="1" applyBorder="1" applyAlignment="1">
      <alignment horizontal="right" wrapText="1" shrinkToFit="1"/>
    </xf>
    <xf numFmtId="3" fontId="43" fillId="14" borderId="5" xfId="0" applyNumberFormat="1" applyFont="1" applyFill="1" applyBorder="1" applyAlignment="1">
      <alignment horizontal="right" wrapText="1" shrinkToFit="1"/>
    </xf>
    <xf numFmtId="1" fontId="43" fillId="14" borderId="5" xfId="0" applyNumberFormat="1" applyFont="1" applyFill="1" applyBorder="1" applyAlignment="1">
      <alignment horizontal="right" wrapText="1" shrinkToFit="1"/>
    </xf>
    <xf numFmtId="167" fontId="43" fillId="14" borderId="5" xfId="0" applyNumberFormat="1" applyFont="1" applyFill="1" applyBorder="1" applyAlignment="1">
      <alignment horizontal="right" wrapText="1" shrinkToFit="1"/>
    </xf>
    <xf numFmtId="1" fontId="43" fillId="14" borderId="16" xfId="0" applyNumberFormat="1" applyFont="1" applyFill="1" applyBorder="1" applyAlignment="1">
      <alignment horizontal="right" wrapText="1" shrinkToFit="1"/>
    </xf>
    <xf numFmtId="1" fontId="43" fillId="14" borderId="35" xfId="15" applyNumberFormat="1" applyFont="1" applyFill="1" applyBorder="1" applyAlignment="1">
      <alignment horizontal="right" wrapText="1" shrinkToFit="1"/>
    </xf>
    <xf numFmtId="0" fontId="33" fillId="14" borderId="0" xfId="0" applyFont="1" applyFill="1" applyAlignment="1">
      <alignment wrapText="1"/>
    </xf>
    <xf numFmtId="1" fontId="33" fillId="14" borderId="6" xfId="0" applyNumberFormat="1" applyFont="1" applyFill="1" applyBorder="1" applyAlignment="1" applyProtection="1">
      <alignment wrapText="1"/>
      <protection locked="0"/>
    </xf>
    <xf numFmtId="1" fontId="43" fillId="0" borderId="35" xfId="15" applyNumberFormat="1" applyFont="1" applyFill="1" applyBorder="1" applyAlignment="1">
      <alignment horizontal="right" wrapText="1" shrinkToFit="1"/>
    </xf>
    <xf numFmtId="3" fontId="33" fillId="0" borderId="16" xfId="0" applyNumberFormat="1" applyFont="1" applyBorder="1" applyAlignment="1">
      <alignment horizontal="right" wrapText="1" shrinkToFit="1"/>
    </xf>
    <xf numFmtId="9" fontId="43" fillId="0" borderId="5" xfId="15" applyFont="1" applyFill="1" applyBorder="1" applyAlignment="1">
      <alignment horizontal="right" wrapText="1" shrinkToFit="1"/>
    </xf>
    <xf numFmtId="169" fontId="43" fillId="0" borderId="5" xfId="0" applyNumberFormat="1" applyFont="1" applyBorder="1" applyAlignment="1">
      <alignment horizontal="right" wrapText="1" shrinkToFit="1"/>
    </xf>
    <xf numFmtId="3" fontId="33" fillId="0" borderId="19" xfId="0" applyNumberFormat="1" applyFont="1" applyBorder="1" applyAlignment="1">
      <alignment horizontal="right" wrapText="1" shrinkToFit="1"/>
    </xf>
    <xf numFmtId="3" fontId="28" fillId="4" borderId="49" xfId="14" applyNumberFormat="1" applyFont="1" applyFill="1" applyBorder="1" applyAlignment="1">
      <alignment horizontal="left" vertical="center" wrapText="1"/>
    </xf>
    <xf numFmtId="3" fontId="44" fillId="4" borderId="79" xfId="14" applyNumberFormat="1" applyFont="1" applyFill="1" applyBorder="1" applyAlignment="1">
      <alignment horizontal="right" vertical="center" wrapText="1" shrinkToFit="1"/>
    </xf>
    <xf numFmtId="169" fontId="44" fillId="4" borderId="75" xfId="6" applyNumberFormat="1" applyFont="1" applyFill="1" applyBorder="1" applyAlignment="1">
      <alignment horizontal="right" wrapText="1" shrinkToFit="1"/>
    </xf>
    <xf numFmtId="2" fontId="33" fillId="4" borderId="46" xfId="0" applyNumberFormat="1" applyFont="1" applyFill="1" applyBorder="1" applyAlignment="1" applyProtection="1">
      <alignment wrapText="1"/>
      <protection locked="0"/>
    </xf>
    <xf numFmtId="3" fontId="28" fillId="4" borderId="42" xfId="6" applyNumberFormat="1" applyFont="1" applyFill="1" applyBorder="1" applyAlignment="1">
      <alignment horizontal="left" vertical="center" wrapText="1"/>
    </xf>
    <xf numFmtId="3" fontId="28" fillId="4" borderId="48" xfId="14" applyNumberFormat="1" applyFont="1" applyFill="1" applyBorder="1" applyAlignment="1">
      <alignment horizontal="left" vertical="center" wrapText="1"/>
    </xf>
    <xf numFmtId="3" fontId="28" fillId="0" borderId="4" xfId="14" applyNumberFormat="1" applyFont="1" applyBorder="1" applyAlignment="1">
      <alignment horizontal="left" vertical="center" wrapText="1"/>
    </xf>
    <xf numFmtId="169" fontId="28" fillId="0" borderId="52" xfId="14" applyNumberFormat="1" applyFont="1" applyBorder="1" applyAlignment="1">
      <alignment horizontal="right" vertical="center" wrapText="1" shrinkToFit="1"/>
    </xf>
    <xf numFmtId="169" fontId="45" fillId="4" borderId="8" xfId="14" applyNumberFormat="1" applyFont="1" applyFill="1" applyBorder="1" applyAlignment="1">
      <alignment horizontal="right" vertical="center" wrapText="1" shrinkToFit="1"/>
    </xf>
    <xf numFmtId="169" fontId="45" fillId="0" borderId="9" xfId="14" applyNumberFormat="1" applyFont="1" applyBorder="1" applyAlignment="1">
      <alignment horizontal="right" vertical="center" wrapText="1" shrinkToFit="1"/>
    </xf>
    <xf numFmtId="169" fontId="45" fillId="4" borderId="9" xfId="14" applyNumberFormat="1" applyFont="1" applyFill="1" applyBorder="1" applyAlignment="1">
      <alignment horizontal="right" vertical="center" wrapText="1" shrinkToFit="1"/>
    </xf>
    <xf numFmtId="169" fontId="44" fillId="4" borderId="11" xfId="14" applyNumberFormat="1" applyFont="1" applyFill="1" applyBorder="1" applyAlignment="1">
      <alignment horizontal="right" vertical="center" wrapText="1" shrinkToFit="1"/>
    </xf>
    <xf numFmtId="167" fontId="45" fillId="4" borderId="9" xfId="14" applyNumberFormat="1" applyFont="1" applyFill="1" applyBorder="1" applyAlignment="1">
      <alignment horizontal="right" vertical="center" wrapText="1" shrinkToFit="1"/>
    </xf>
    <xf numFmtId="169" fontId="45" fillId="4" borderId="10" xfId="14" applyNumberFormat="1" applyFont="1" applyFill="1" applyBorder="1" applyAlignment="1">
      <alignment horizontal="right" vertical="center" wrapText="1" shrinkToFit="1"/>
    </xf>
    <xf numFmtId="169" fontId="45" fillId="4" borderId="11" xfId="14" applyNumberFormat="1" applyFont="1" applyFill="1" applyBorder="1" applyAlignment="1">
      <alignment horizontal="right" vertical="center" wrapText="1" shrinkToFit="1"/>
    </xf>
    <xf numFmtId="169" fontId="45" fillId="4" borderId="32" xfId="14" applyNumberFormat="1" applyFont="1" applyFill="1" applyBorder="1" applyAlignment="1">
      <alignment horizontal="right" vertical="center" wrapText="1" shrinkToFit="1"/>
    </xf>
    <xf numFmtId="169" fontId="45" fillId="4" borderId="40" xfId="14" applyNumberFormat="1" applyFont="1" applyFill="1" applyBorder="1" applyAlignment="1">
      <alignment horizontal="right" vertical="center" wrapText="1" shrinkToFit="1"/>
    </xf>
    <xf numFmtId="169" fontId="45" fillId="4" borderId="66" xfId="0" applyNumberFormat="1" applyFont="1" applyFill="1" applyBorder="1" applyAlignment="1">
      <alignment horizontal="right" wrapText="1" shrinkToFit="1"/>
    </xf>
    <xf numFmtId="10" fontId="45" fillId="4" borderId="41" xfId="14" applyNumberFormat="1" applyFont="1" applyFill="1" applyBorder="1" applyAlignment="1">
      <alignment horizontal="right" vertical="center" wrapText="1" shrinkToFit="1"/>
    </xf>
    <xf numFmtId="167" fontId="45" fillId="4" borderId="52" xfId="15" applyNumberFormat="1" applyFont="1" applyFill="1" applyBorder="1" applyAlignment="1">
      <alignment horizontal="right" vertical="center" wrapText="1" shrinkToFit="1"/>
    </xf>
    <xf numFmtId="169" fontId="45" fillId="4" borderId="52" xfId="15" applyNumberFormat="1" applyFont="1" applyFill="1" applyBorder="1" applyAlignment="1">
      <alignment horizontal="right" vertical="center" wrapText="1" shrinkToFit="1"/>
    </xf>
    <xf numFmtId="169" fontId="45" fillId="4" borderId="52" xfId="14" applyNumberFormat="1" applyFont="1" applyFill="1" applyBorder="1" applyAlignment="1">
      <alignment horizontal="right" vertical="center" wrapText="1" shrinkToFit="1"/>
    </xf>
    <xf numFmtId="49" fontId="45" fillId="4" borderId="52" xfId="14" applyNumberFormat="1" applyFont="1" applyFill="1" applyBorder="1" applyAlignment="1">
      <alignment horizontal="right" vertical="center" wrapText="1" shrinkToFit="1"/>
    </xf>
    <xf numFmtId="0" fontId="45" fillId="4" borderId="52" xfId="14" applyFont="1" applyFill="1" applyBorder="1" applyAlignment="1">
      <alignment horizontal="right" vertical="center" wrapText="1" shrinkToFit="1"/>
    </xf>
    <xf numFmtId="0" fontId="43" fillId="0" borderId="0" xfId="0" applyFont="1" applyAlignment="1">
      <alignment wrapText="1"/>
    </xf>
    <xf numFmtId="169" fontId="43" fillId="0" borderId="0" xfId="0" applyNumberFormat="1" applyFont="1" applyAlignment="1">
      <alignment wrapText="1"/>
    </xf>
    <xf numFmtId="167" fontId="43" fillId="0" borderId="0" xfId="0" applyNumberFormat="1" applyFont="1" applyAlignment="1">
      <alignment wrapText="1"/>
    </xf>
    <xf numFmtId="167" fontId="43" fillId="0" borderId="0" xfId="15" applyNumberFormat="1" applyFont="1" applyAlignment="1">
      <alignment wrapText="1"/>
    </xf>
    <xf numFmtId="169" fontId="43" fillId="0" borderId="0" xfId="15" applyNumberFormat="1" applyFont="1" applyAlignment="1">
      <alignment wrapText="1"/>
    </xf>
    <xf numFmtId="49" fontId="43" fillId="0" borderId="0" xfId="0" applyNumberFormat="1" applyFont="1" applyAlignment="1">
      <alignment wrapText="1"/>
    </xf>
    <xf numFmtId="4" fontId="33" fillId="0" borderId="5" xfId="0" applyNumberFormat="1" applyFont="1" applyBorder="1" applyAlignment="1">
      <alignment horizontal="right" wrapText="1" shrinkToFit="1"/>
    </xf>
    <xf numFmtId="170" fontId="43" fillId="0" borderId="16" xfId="0" applyNumberFormat="1" applyFont="1" applyBorder="1" applyAlignment="1">
      <alignment horizontal="right" wrapText="1" shrinkToFit="1"/>
    </xf>
    <xf numFmtId="170" fontId="43"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70" fontId="43" fillId="0" borderId="17" xfId="0" applyNumberFormat="1" applyFont="1" applyBorder="1" applyAlignment="1">
      <alignment horizontal="right" wrapText="1" shrinkToFit="1"/>
    </xf>
    <xf numFmtId="169" fontId="43" fillId="0" borderId="5" xfId="15" applyNumberFormat="1" applyFont="1" applyBorder="1" applyAlignment="1">
      <alignment horizontal="right" wrapText="1" shrinkToFit="1"/>
    </xf>
    <xf numFmtId="49" fontId="43" fillId="0" borderId="5" xfId="0" applyNumberFormat="1" applyFont="1" applyBorder="1" applyAlignment="1">
      <alignment horizontal="right" wrapText="1" shrinkToFit="1"/>
    </xf>
    <xf numFmtId="3" fontId="33"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7" fontId="33" fillId="0" borderId="38" xfId="0" applyNumberFormat="1" applyFont="1" applyBorder="1" applyAlignment="1">
      <alignment horizontal="right" wrapText="1" shrinkToFit="1"/>
    </xf>
    <xf numFmtId="9" fontId="33" fillId="0" borderId="38" xfId="0" applyNumberFormat="1" applyFont="1" applyBorder="1" applyAlignment="1">
      <alignment horizontal="right" wrapText="1" shrinkToFit="1"/>
    </xf>
    <xf numFmtId="167" fontId="33" fillId="0" borderId="16" xfId="0" applyNumberFormat="1" applyFont="1" applyBorder="1" applyAlignment="1">
      <alignment horizontal="right" wrapText="1" shrinkToFit="1"/>
    </xf>
    <xf numFmtId="170" fontId="33" fillId="0" borderId="16" xfId="0" applyNumberFormat="1" applyFont="1" applyBorder="1" applyAlignment="1">
      <alignment horizontal="right" wrapText="1" shrinkToFit="1"/>
    </xf>
    <xf numFmtId="9" fontId="33" fillId="0" borderId="16" xfId="0" applyNumberFormat="1" applyFont="1" applyBorder="1" applyAlignment="1">
      <alignment horizontal="right" wrapText="1" shrinkToFit="1"/>
    </xf>
    <xf numFmtId="0" fontId="33"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70" fillId="0" borderId="0" xfId="0" applyFont="1" applyAlignment="1">
      <alignment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2" fontId="43" fillId="0" borderId="54" xfId="0" applyNumberFormat="1" applyFont="1" applyBorder="1" applyAlignment="1">
      <alignment horizontal="right" wrapText="1"/>
    </xf>
    <xf numFmtId="169" fontId="45" fillId="0" borderId="66" xfId="0" applyNumberFormat="1" applyFont="1" applyBorder="1" applyAlignment="1">
      <alignment horizontal="right" wrapText="1" shrinkToFit="1"/>
    </xf>
    <xf numFmtId="169" fontId="45" fillId="0" borderId="67" xfId="0" applyNumberFormat="1" applyFont="1" applyBorder="1" applyAlignment="1">
      <alignment horizontal="right" wrapText="1" shrinkToFit="1"/>
    </xf>
    <xf numFmtId="1" fontId="33" fillId="0" borderId="62" xfId="0" applyNumberFormat="1" applyFont="1" applyBorder="1" applyAlignment="1">
      <alignment horizontal="right" wrapText="1" shrinkToFit="1"/>
    </xf>
    <xf numFmtId="1" fontId="33" fillId="0" borderId="0" xfId="0" applyNumberFormat="1" applyFont="1" applyAlignment="1">
      <alignment wrapText="1"/>
    </xf>
    <xf numFmtId="1" fontId="69" fillId="0" borderId="0" xfId="0" applyNumberFormat="1" applyFont="1" applyAlignment="1">
      <alignment horizontal="left" wrapText="1"/>
    </xf>
    <xf numFmtId="167" fontId="43" fillId="0" borderId="19" xfId="15" applyNumberFormat="1" applyFont="1" applyFill="1" applyBorder="1" applyAlignment="1">
      <alignment horizontal="right" wrapText="1" shrinkToFit="1"/>
    </xf>
    <xf numFmtId="1" fontId="43" fillId="0" borderId="19" xfId="15" applyNumberFormat="1" applyFont="1" applyFill="1" applyBorder="1" applyAlignment="1">
      <alignment horizontal="right" wrapText="1" shrinkToFit="1"/>
    </xf>
    <xf numFmtId="167" fontId="43" fillId="14" borderId="19" xfId="15" applyNumberFormat="1" applyFont="1" applyFill="1" applyBorder="1" applyAlignment="1">
      <alignment horizontal="right" wrapText="1" shrinkToFit="1"/>
    </xf>
    <xf numFmtId="1" fontId="45" fillId="4" borderId="32" xfId="14" applyNumberFormat="1" applyFont="1" applyFill="1" applyBorder="1" applyAlignment="1">
      <alignment horizontal="right" vertical="center" wrapText="1" shrinkToFit="1"/>
    </xf>
    <xf numFmtId="1" fontId="43" fillId="0" borderId="0" xfId="0" applyNumberFormat="1" applyFont="1" applyAlignment="1">
      <alignment wrapText="1"/>
    </xf>
    <xf numFmtId="1" fontId="33" fillId="0" borderId="38" xfId="0" applyNumberFormat="1" applyFont="1" applyBorder="1" applyAlignment="1">
      <alignment horizontal="right" wrapText="1" shrinkToFit="1"/>
    </xf>
    <xf numFmtId="1" fontId="33" fillId="0" borderId="16" xfId="0" applyNumberFormat="1" applyFont="1" applyBorder="1" applyAlignment="1">
      <alignment horizontal="right" wrapText="1" shrinkToFit="1"/>
    </xf>
    <xf numFmtId="0" fontId="56" fillId="0" borderId="0" xfId="0" applyFont="1"/>
    <xf numFmtId="0" fontId="60" fillId="16" borderId="93" xfId="0" applyFont="1" applyFill="1" applyBorder="1" applyAlignment="1">
      <alignment horizontal="center" vertical="center" wrapText="1"/>
    </xf>
    <xf numFmtId="0" fontId="60" fillId="16" borderId="87" xfId="0" applyFont="1" applyFill="1" applyBorder="1" applyAlignment="1">
      <alignment horizontal="center" vertical="center" wrapText="1"/>
    </xf>
    <xf numFmtId="3" fontId="62" fillId="16" borderId="48" xfId="14" applyNumberFormat="1" applyFont="1" applyFill="1" applyBorder="1" applyAlignment="1">
      <alignment vertical="center"/>
    </xf>
    <xf numFmtId="3" fontId="62" fillId="16" borderId="8" xfId="14" applyNumberFormat="1" applyFont="1" applyFill="1" applyBorder="1" applyAlignment="1">
      <alignment horizontal="right" vertical="center"/>
    </xf>
    <xf numFmtId="4" fontId="62" fillId="16" borderId="11" xfId="14" applyNumberFormat="1" applyFont="1" applyFill="1" applyBorder="1" applyAlignment="1">
      <alignment horizontal="right" vertical="center"/>
    </xf>
    <xf numFmtId="3" fontId="62" fillId="16" borderId="48" xfId="14" applyNumberFormat="1" applyFont="1" applyFill="1" applyBorder="1" applyAlignment="1">
      <alignment horizontal="right" vertical="center"/>
    </xf>
    <xf numFmtId="3" fontId="62" fillId="16" borderId="28" xfId="14" applyNumberFormat="1" applyFont="1" applyFill="1" applyBorder="1" applyAlignment="1">
      <alignment vertical="center"/>
    </xf>
    <xf numFmtId="3" fontId="62" fillId="16" borderId="75" xfId="6" applyNumberFormat="1" applyFont="1" applyFill="1" applyBorder="1" applyAlignment="1">
      <alignment horizontal="right"/>
    </xf>
    <xf numFmtId="3" fontId="62" fillId="16" borderId="59" xfId="6" applyNumberFormat="1" applyFont="1" applyFill="1" applyBorder="1" applyAlignment="1">
      <alignment horizontal="right"/>
    </xf>
    <xf numFmtId="3" fontId="62" fillId="16" borderId="60" xfId="6" applyNumberFormat="1" applyFont="1" applyFill="1" applyBorder="1" applyAlignment="1">
      <alignment horizontal="right"/>
    </xf>
    <xf numFmtId="167" fontId="62" fillId="16" borderId="66" xfId="0" applyNumberFormat="1" applyFont="1" applyFill="1" applyBorder="1" applyAlignment="1">
      <alignment horizontal="right" shrinkToFit="1"/>
    </xf>
    <xf numFmtId="167" fontId="62" fillId="16" borderId="67" xfId="0" applyNumberFormat="1" applyFont="1" applyFill="1" applyBorder="1" applyAlignment="1">
      <alignment horizontal="right" shrinkToFit="1"/>
    </xf>
    <xf numFmtId="167" fontId="62" fillId="16" borderId="67" xfId="0" applyNumberFormat="1" applyFont="1" applyFill="1" applyBorder="1" applyAlignment="1">
      <alignment horizontal="right" vertical="top" shrinkToFit="1"/>
    </xf>
    <xf numFmtId="167" fontId="62" fillId="16" borderId="64" xfId="0" applyNumberFormat="1" applyFont="1" applyFill="1" applyBorder="1" applyAlignment="1">
      <alignment horizontal="right" shrinkToFit="1"/>
    </xf>
    <xf numFmtId="167" fontId="62" fillId="16" borderId="8" xfId="0" applyNumberFormat="1" applyFont="1" applyFill="1" applyBorder="1" applyAlignment="1">
      <alignment horizontal="right" shrinkToFit="1"/>
    </xf>
    <xf numFmtId="167" fontId="62" fillId="16" borderId="9" xfId="0" applyNumberFormat="1" applyFont="1" applyFill="1" applyBorder="1" applyAlignment="1">
      <alignment horizontal="right" shrinkToFit="1"/>
    </xf>
    <xf numFmtId="167" fontId="62" fillId="16" borderId="11" xfId="0" applyNumberFormat="1" applyFont="1" applyFill="1" applyBorder="1" applyAlignment="1">
      <alignment horizontal="right" shrinkToFit="1"/>
    </xf>
    <xf numFmtId="4" fontId="62" fillId="16" borderId="66" xfId="0" applyNumberFormat="1" applyFont="1" applyFill="1" applyBorder="1" applyAlignment="1">
      <alignment horizontal="right" shrinkToFit="1"/>
    </xf>
    <xf numFmtId="4" fontId="62" fillId="16" borderId="67" xfId="0" applyNumberFormat="1" applyFont="1" applyFill="1" applyBorder="1" applyAlignment="1">
      <alignment horizontal="right" shrinkToFit="1"/>
    </xf>
    <xf numFmtId="4" fontId="62" fillId="16" borderId="78" xfId="0" applyNumberFormat="1" applyFont="1" applyFill="1" applyBorder="1" applyAlignment="1">
      <alignment horizontal="right" shrinkToFit="1"/>
    </xf>
    <xf numFmtId="4" fontId="62" fillId="16" borderId="48" xfId="0" applyNumberFormat="1" applyFont="1" applyFill="1" applyBorder="1" applyAlignment="1">
      <alignment horizontal="right" shrinkToFit="1"/>
    </xf>
    <xf numFmtId="3" fontId="28" fillId="16" borderId="48" xfId="14" applyNumberFormat="1" applyFont="1" applyFill="1" applyBorder="1" applyAlignment="1">
      <alignment horizontal="left" vertical="center"/>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0" fontId="60" fillId="16" borderId="5" xfId="0" applyFont="1" applyFill="1" applyBorder="1" applyAlignment="1">
      <alignment horizontal="center" vertical="center" wrapText="1"/>
    </xf>
    <xf numFmtId="3" fontId="28" fillId="16" borderId="49" xfId="14" applyNumberFormat="1" applyFont="1" applyFill="1" applyBorder="1" applyAlignment="1">
      <alignment horizontal="left" vertical="center"/>
    </xf>
    <xf numFmtId="3" fontId="28" fillId="16" borderId="101"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67" fontId="44" fillId="16" borderId="60" xfId="15" applyNumberFormat="1" applyFont="1" applyFill="1" applyBorder="1" applyAlignment="1">
      <alignment horizontal="right" shrinkToFit="1"/>
    </xf>
    <xf numFmtId="1" fontId="44" fillId="16" borderId="79" xfId="14" applyNumberFormat="1" applyFont="1" applyFill="1" applyBorder="1" applyAlignment="1">
      <alignment horizontal="right" vertical="center" shrinkToFit="1"/>
    </xf>
    <xf numFmtId="9" fontId="44" fillId="16" borderId="80" xfId="15" applyFont="1" applyFill="1" applyBorder="1" applyAlignment="1">
      <alignment horizontal="right" vertical="center" shrinkToFit="1"/>
    </xf>
    <xf numFmtId="1" fontId="44" fillId="16" borderId="80" xfId="15"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44" fillId="16" borderId="60" xfId="6" applyNumberFormat="1" applyFont="1" applyFill="1" applyBorder="1" applyAlignment="1">
      <alignment horizontal="right" shrinkToFit="1"/>
    </xf>
    <xf numFmtId="167" fontId="44" fillId="16" borderId="101" xfId="14" applyNumberFormat="1" applyFont="1" applyFill="1" applyBorder="1" applyAlignment="1">
      <alignment horizontal="right" vertical="center" shrinkToFit="1"/>
    </xf>
    <xf numFmtId="1" fontId="44" fillId="16" borderId="101" xfId="14" applyNumberFormat="1" applyFont="1" applyFill="1" applyBorder="1" applyAlignment="1">
      <alignment horizontal="right" vertical="center" shrinkToFit="1"/>
    </xf>
    <xf numFmtId="49" fontId="44" fillId="16" borderId="101" xfId="14" applyNumberFormat="1" applyFont="1" applyFill="1" applyBorder="1" applyAlignment="1">
      <alignment horizontal="right" vertical="center" shrinkToFit="1"/>
    </xf>
    <xf numFmtId="0" fontId="44" fillId="16" borderId="81" xfId="14"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3" fontId="28" fillId="16" borderId="104" xfId="6" applyNumberFormat="1" applyFont="1" applyFill="1" applyBorder="1" applyAlignment="1">
      <alignment horizontal="left" vertical="center"/>
    </xf>
    <xf numFmtId="169" fontId="44" fillId="16" borderId="60" xfId="15" applyNumberFormat="1" applyFont="1" applyFill="1" applyBorder="1" applyAlignment="1">
      <alignment horizontal="right" shrinkToFit="1"/>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169" fontId="44" fillId="16" borderId="105" xfId="14" applyNumberFormat="1" applyFont="1" applyFill="1" applyBorder="1" applyAlignment="1">
      <alignment horizontal="right" vertical="center" shrinkToFit="1"/>
    </xf>
    <xf numFmtId="0" fontId="60" fillId="17" borderId="46" xfId="0" applyFont="1" applyFill="1" applyBorder="1" applyAlignment="1">
      <alignment horizontal="center" vertical="center" wrapText="1"/>
    </xf>
    <xf numFmtId="0" fontId="60" fillId="17" borderId="24" xfId="0" applyFont="1" applyFill="1" applyBorder="1" applyAlignment="1">
      <alignment horizontal="center" vertical="center" wrapText="1"/>
    </xf>
    <xf numFmtId="3" fontId="62" fillId="18" borderId="42" xfId="6" applyNumberFormat="1" applyFont="1" applyFill="1" applyBorder="1" applyAlignment="1">
      <alignment horizontal="right"/>
    </xf>
    <xf numFmtId="3" fontId="62" fillId="18" borderId="75" xfId="6" applyNumberFormat="1" applyFont="1" applyFill="1" applyBorder="1" applyAlignment="1">
      <alignment horizontal="right"/>
    </xf>
    <xf numFmtId="4" fontId="62" fillId="18" borderId="60" xfId="6" applyNumberFormat="1" applyFont="1" applyFill="1" applyBorder="1" applyAlignment="1">
      <alignment horizontal="right"/>
    </xf>
    <xf numFmtId="3" fontId="62" fillId="18" borderId="60" xfId="6" applyNumberFormat="1" applyFont="1" applyFill="1" applyBorder="1" applyAlignment="1">
      <alignment horizontal="right"/>
    </xf>
    <xf numFmtId="3" fontId="62" fillId="18" borderId="106" xfId="6" applyNumberFormat="1" applyFont="1" applyFill="1" applyBorder="1" applyAlignment="1">
      <alignment horizontal="right"/>
    </xf>
    <xf numFmtId="3" fontId="62" fillId="18" borderId="59" xfId="6" applyNumberFormat="1" applyFont="1" applyFill="1" applyBorder="1" applyAlignment="1">
      <alignment horizontal="right"/>
    </xf>
    <xf numFmtId="167" fontId="62" fillId="18" borderId="75" xfId="0" applyNumberFormat="1" applyFont="1" applyFill="1" applyBorder="1" applyAlignment="1">
      <alignment horizontal="right" shrinkToFit="1"/>
    </xf>
    <xf numFmtId="167" fontId="62" fillId="18" borderId="59" xfId="0" applyNumberFormat="1" applyFont="1" applyFill="1" applyBorder="1" applyAlignment="1">
      <alignment horizontal="right" shrinkToFit="1"/>
    </xf>
    <xf numFmtId="167" fontId="62" fillId="18" borderId="59" xfId="0" applyNumberFormat="1" applyFont="1" applyFill="1" applyBorder="1" applyAlignment="1">
      <alignment horizontal="right" vertical="top" shrinkToFit="1"/>
    </xf>
    <xf numFmtId="167" fontId="62" fillId="18" borderId="60" xfId="0" applyNumberFormat="1" applyFont="1" applyFill="1" applyBorder="1" applyAlignment="1">
      <alignment horizontal="right" shrinkToFit="1"/>
    </xf>
    <xf numFmtId="4" fontId="62" fillId="18" borderId="75" xfId="0" applyNumberFormat="1" applyFont="1" applyFill="1" applyBorder="1" applyAlignment="1">
      <alignment horizontal="right" shrinkToFit="1"/>
    </xf>
    <xf numFmtId="4" fontId="62" fillId="18" borderId="59" xfId="0" applyNumberFormat="1" applyFont="1" applyFill="1" applyBorder="1" applyAlignment="1">
      <alignment horizontal="right" shrinkToFit="1"/>
    </xf>
    <xf numFmtId="4" fontId="62" fillId="18" borderId="60" xfId="0" applyNumberFormat="1" applyFont="1" applyFill="1" applyBorder="1" applyAlignment="1">
      <alignment horizontal="right" shrinkToFit="1"/>
    </xf>
    <xf numFmtId="4" fontId="62" fillId="18" borderId="42" xfId="0" applyNumberFormat="1" applyFont="1" applyFill="1" applyBorder="1" applyAlignment="1">
      <alignment horizontal="right" shrinkToFit="1"/>
    </xf>
    <xf numFmtId="4" fontId="62" fillId="18" borderId="76" xfId="0" applyNumberFormat="1" applyFont="1" applyFill="1" applyBorder="1" applyAlignment="1">
      <alignment horizontal="right"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75" xfId="6" applyNumberFormat="1" applyFont="1" applyFill="1" applyBorder="1" applyAlignment="1">
      <alignment horizontal="right" shrinkToFit="1"/>
    </xf>
    <xf numFmtId="3" fontId="44" fillId="18" borderId="106"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1"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8" borderId="60" xfId="6" applyNumberFormat="1" applyFont="1" applyFill="1" applyBorder="1" applyAlignment="1">
      <alignment horizontal="right" shrinkToFit="1"/>
    </xf>
    <xf numFmtId="9" fontId="44" fillId="18" borderId="76" xfId="6" applyNumberFormat="1" applyFont="1" applyFill="1" applyBorder="1" applyAlignment="1">
      <alignment horizontal="right" shrinkToFit="1"/>
    </xf>
    <xf numFmtId="3" fontId="44" fillId="18" borderId="77" xfId="6" applyNumberFormat="1" applyFont="1" applyFill="1" applyBorder="1" applyAlignment="1">
      <alignment horizontal="right" shrinkToFit="1"/>
    </xf>
    <xf numFmtId="3" fontId="44" fillId="18" borderId="76" xfId="6" applyNumberFormat="1" applyFont="1" applyFill="1" applyBorder="1" applyAlignment="1">
      <alignment horizontal="right" shrinkToFit="1"/>
    </xf>
    <xf numFmtId="2" fontId="44" fillId="18" borderId="59" xfId="6" applyNumberFormat="1" applyFont="1" applyFill="1" applyBorder="1" applyAlignment="1">
      <alignment horizontal="right" shrinkToFit="1"/>
    </xf>
    <xf numFmtId="2" fontId="44" fillId="18" borderId="76" xfId="6" applyNumberFormat="1" applyFont="1" applyFill="1" applyBorder="1" applyAlignment="1">
      <alignment horizontal="right" shrinkToFit="1"/>
    </xf>
    <xf numFmtId="2" fontId="44" fillId="18" borderId="60" xfId="6" applyNumberFormat="1" applyFont="1" applyFill="1" applyBorder="1" applyAlignment="1">
      <alignment horizontal="right" shrinkToFit="1"/>
    </xf>
    <xf numFmtId="167" fontId="44" fillId="18" borderId="42" xfId="6" applyNumberFormat="1" applyFont="1" applyFill="1" applyBorder="1" applyAlignment="1">
      <alignment horizontal="right" shrinkToFit="1"/>
    </xf>
    <xf numFmtId="167" fontId="44" fillId="18" borderId="42" xfId="15" applyNumberFormat="1" applyFont="1" applyFill="1" applyBorder="1" applyAlignment="1">
      <alignment horizontal="right" shrinkToFit="1"/>
    </xf>
    <xf numFmtId="49" fontId="44" fillId="18" borderId="42" xfId="6" applyNumberFormat="1"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9" fontId="44" fillId="16" borderId="96" xfId="15" applyFont="1" applyFill="1" applyBorder="1" applyAlignment="1">
      <alignment horizontal="right" vertical="center" shrinkToFit="1"/>
    </xf>
    <xf numFmtId="9" fontId="44" fillId="16" borderId="88" xfId="14" applyNumberFormat="1" applyFont="1" applyFill="1" applyBorder="1" applyAlignment="1">
      <alignment horizontal="right" vertical="center" shrinkToFit="1"/>
    </xf>
    <xf numFmtId="169" fontId="45" fillId="16" borderId="79" xfId="0" applyNumberFormat="1" applyFont="1" applyFill="1" applyBorder="1" applyAlignment="1">
      <alignment horizontal="right" shrinkToFit="1"/>
    </xf>
    <xf numFmtId="169" fontId="45" fillId="16" borderId="80" xfId="0" applyNumberFormat="1" applyFont="1" applyFill="1" applyBorder="1" applyAlignment="1">
      <alignment horizontal="right" shrinkToFit="1"/>
    </xf>
    <xf numFmtId="169" fontId="45" fillId="16" borderId="81" xfId="0" applyNumberFormat="1" applyFont="1" applyFill="1" applyBorder="1" applyAlignment="1">
      <alignment horizontal="right" shrinkToFit="1"/>
    </xf>
    <xf numFmtId="167" fontId="44" fillId="16" borderId="49" xfId="15" applyNumberFormat="1" applyFont="1" applyFill="1" applyBorder="1" applyAlignment="1">
      <alignment horizontal="right" vertical="center" shrinkToFit="1"/>
    </xf>
    <xf numFmtId="167" fontId="44" fillId="16" borderId="98"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59" xfId="6" applyNumberFormat="1" applyFont="1" applyFill="1" applyBorder="1" applyAlignment="1">
      <alignment horizontal="right" shrinkToFit="1"/>
    </xf>
    <xf numFmtId="1" fontId="44" fillId="16" borderId="59" xfId="6" applyNumberFormat="1" applyFont="1" applyFill="1" applyBorder="1" applyAlignment="1">
      <alignment horizontal="right" shrinkToFit="1"/>
    </xf>
    <xf numFmtId="167" fontId="44" fillId="16" borderId="42"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44" fillId="16" borderId="104" xfId="6" applyNumberFormat="1" applyFont="1" applyFill="1" applyBorder="1" applyAlignment="1">
      <alignment horizontal="right" shrinkToFit="1"/>
    </xf>
    <xf numFmtId="49" fontId="44" fillId="16" borderId="104" xfId="6"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0" fontId="28" fillId="18" borderId="42" xfId="6" applyNumberFormat="1" applyFont="1" applyFill="1" applyBorder="1" applyAlignment="1">
      <alignment horizontal="right" shrinkToFit="1"/>
    </xf>
    <xf numFmtId="1" fontId="28" fillId="18" borderId="77" xfId="6"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9" fontId="28" fillId="18" borderId="42" xfId="6" applyNumberFormat="1" applyFont="1" applyFill="1" applyBorder="1" applyAlignment="1">
      <alignment horizontal="right" shrinkToFit="1"/>
    </xf>
    <xf numFmtId="3" fontId="28" fillId="18" borderId="99"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0" fontId="44" fillId="16" borderId="101" xfId="14"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0" fontId="44" fillId="16" borderId="104" xfId="6" applyNumberFormat="1" applyFont="1" applyFill="1" applyBorder="1" applyAlignment="1">
      <alignment horizontal="right" shrinkToFit="1"/>
    </xf>
    <xf numFmtId="167" fontId="28" fillId="18" borderId="77" xfId="6" applyNumberFormat="1" applyFont="1" applyFill="1" applyBorder="1" applyAlignment="1">
      <alignment horizontal="right" shrinkToFit="1"/>
    </xf>
    <xf numFmtId="9" fontId="28" fillId="18" borderId="108" xfId="6" applyNumberFormat="1" applyFont="1" applyFill="1" applyBorder="1" applyAlignment="1">
      <alignment horizontal="right" shrinkToFit="1"/>
    </xf>
    <xf numFmtId="1" fontId="28" fillId="18" borderId="109" xfId="6" applyNumberFormat="1" applyFont="1" applyFill="1" applyBorder="1" applyAlignment="1">
      <alignment horizontal="right" shrinkToFit="1"/>
    </xf>
    <xf numFmtId="0" fontId="28" fillId="18" borderId="60" xfId="6" applyNumberFormat="1" applyFont="1" applyFill="1" applyBorder="1" applyAlignment="1">
      <alignment horizontal="right" shrinkToFit="1"/>
    </xf>
    <xf numFmtId="1" fontId="28" fillId="18" borderId="110" xfId="6" applyNumberFormat="1" applyFont="1" applyFill="1" applyBorder="1" applyAlignment="1">
      <alignment horizontal="right" shrinkToFit="1"/>
    </xf>
    <xf numFmtId="1" fontId="28" fillId="18" borderId="111" xfId="15" applyNumberFormat="1" applyFont="1" applyFill="1" applyBorder="1" applyAlignment="1">
      <alignment horizontal="right" shrinkToFit="1"/>
    </xf>
    <xf numFmtId="1" fontId="28" fillId="18" borderId="111" xfId="6" applyNumberFormat="1" applyFont="1" applyFill="1" applyBorder="1" applyAlignment="1">
      <alignment horizontal="right" shrinkToFit="1"/>
    </xf>
    <xf numFmtId="167" fontId="28" fillId="18" borderId="109" xfId="6" applyNumberFormat="1" applyFont="1" applyFill="1" applyBorder="1" applyAlignment="1">
      <alignment horizontal="right" shrinkToFit="1"/>
    </xf>
    <xf numFmtId="3" fontId="28" fillId="18" borderId="42" xfId="6" applyNumberFormat="1" applyFont="1" applyFill="1" applyBorder="1" applyAlignment="1">
      <alignment horizontal="right" wrapText="1"/>
    </xf>
    <xf numFmtId="1" fontId="28" fillId="18" borderId="42" xfId="6" applyNumberFormat="1" applyFont="1" applyFill="1" applyBorder="1" applyAlignment="1">
      <alignment horizontal="right" wrapText="1" shrinkToFit="1"/>
    </xf>
    <xf numFmtId="3" fontId="28" fillId="18" borderId="75" xfId="6" applyNumberFormat="1" applyFont="1" applyFill="1" applyBorder="1" applyAlignment="1">
      <alignment horizontal="right" wrapText="1" shrinkToFit="1"/>
    </xf>
    <xf numFmtId="3" fontId="28" fillId="18" borderId="59" xfId="6" applyNumberFormat="1" applyFont="1" applyFill="1" applyBorder="1" applyAlignment="1">
      <alignment horizontal="right" wrapText="1" shrinkToFit="1"/>
    </xf>
    <xf numFmtId="3" fontId="44" fillId="18" borderId="59" xfId="6" applyNumberFormat="1" applyFont="1" applyFill="1" applyBorder="1" applyAlignment="1">
      <alignment horizontal="right" wrapText="1" shrinkToFit="1"/>
    </xf>
    <xf numFmtId="1" fontId="28" fillId="18" borderId="59" xfId="6" applyNumberFormat="1" applyFont="1" applyFill="1" applyBorder="1" applyAlignment="1">
      <alignment horizontal="right" wrapText="1" shrinkToFit="1"/>
    </xf>
    <xf numFmtId="167" fontId="28" fillId="18" borderId="59" xfId="6" applyNumberFormat="1" applyFont="1" applyFill="1" applyBorder="1" applyAlignment="1">
      <alignment horizontal="right" wrapText="1" shrinkToFit="1"/>
    </xf>
    <xf numFmtId="9" fontId="28" fillId="18" borderId="76" xfId="6" applyNumberFormat="1" applyFont="1" applyFill="1" applyBorder="1" applyAlignment="1">
      <alignment horizontal="right" wrapText="1" shrinkToFit="1"/>
    </xf>
    <xf numFmtId="170" fontId="28" fillId="18" borderId="59" xfId="6" applyNumberFormat="1" applyFont="1" applyFill="1" applyBorder="1" applyAlignment="1">
      <alignment horizontal="right" wrapText="1" shrinkToFit="1"/>
    </xf>
    <xf numFmtId="167" fontId="28" fillId="18" borderId="42" xfId="6" applyNumberFormat="1" applyFont="1" applyFill="1" applyBorder="1" applyAlignment="1">
      <alignment horizontal="right" wrapText="1" shrinkToFit="1"/>
    </xf>
    <xf numFmtId="167" fontId="28" fillId="18" borderId="42" xfId="15" applyNumberFormat="1" applyFont="1" applyFill="1" applyBorder="1" applyAlignment="1">
      <alignment horizontal="right" wrapText="1" shrinkToFit="1"/>
    </xf>
    <xf numFmtId="0" fontId="28" fillId="18" borderId="42" xfId="6" applyNumberFormat="1" applyFont="1" applyFill="1" applyBorder="1" applyAlignment="1">
      <alignment horizontal="right" wrapText="1" shrinkToFit="1"/>
    </xf>
    <xf numFmtId="2" fontId="28" fillId="18" borderId="42" xfId="6" applyNumberFormat="1" applyFont="1" applyFill="1" applyBorder="1" applyAlignment="1">
      <alignment horizontal="right" wrapText="1" shrinkToFit="1"/>
    </xf>
    <xf numFmtId="3" fontId="28" fillId="16" borderId="49" xfId="14" applyNumberFormat="1" applyFont="1" applyFill="1" applyBorder="1" applyAlignment="1">
      <alignment horizontal="left" vertical="center" wrapText="1"/>
    </xf>
    <xf numFmtId="3" fontId="28" fillId="16" borderId="101" xfId="14" applyNumberFormat="1" applyFont="1" applyFill="1" applyBorder="1" applyAlignment="1">
      <alignment horizontal="right" vertical="center" wrapText="1" shrinkToFit="1"/>
    </xf>
    <xf numFmtId="3" fontId="44" fillId="16" borderId="79" xfId="14" applyNumberFormat="1" applyFont="1" applyFill="1" applyBorder="1" applyAlignment="1">
      <alignment horizontal="right" vertical="center" wrapText="1" shrinkToFit="1"/>
    </xf>
    <xf numFmtId="3" fontId="44" fillId="16" borderId="31" xfId="14" applyNumberFormat="1" applyFont="1" applyFill="1" applyBorder="1" applyAlignment="1">
      <alignment horizontal="right" vertical="center" wrapText="1" shrinkToFit="1"/>
    </xf>
    <xf numFmtId="3" fontId="44" fillId="16" borderId="96" xfId="14" applyNumberFormat="1" applyFont="1" applyFill="1" applyBorder="1" applyAlignment="1">
      <alignment horizontal="right" vertical="center" wrapText="1" shrinkToFit="1"/>
    </xf>
    <xf numFmtId="167" fontId="44" fillId="16" borderId="96" xfId="14" applyNumberFormat="1" applyFont="1" applyFill="1" applyBorder="1" applyAlignment="1">
      <alignment horizontal="right" vertical="center" wrapText="1" shrinkToFit="1"/>
    </xf>
    <xf numFmtId="3" fontId="44" fillId="16" borderId="103" xfId="14" applyNumberFormat="1" applyFont="1" applyFill="1" applyBorder="1" applyAlignment="1">
      <alignment horizontal="right" vertical="center" wrapText="1" shrinkToFit="1"/>
    </xf>
    <xf numFmtId="9" fontId="44" fillId="16" borderId="80" xfId="15" applyFont="1" applyFill="1" applyBorder="1" applyAlignment="1">
      <alignment horizontal="right" vertical="center" wrapText="1" shrinkToFit="1"/>
    </xf>
    <xf numFmtId="3" fontId="44" fillId="16" borderId="80" xfId="14" applyNumberFormat="1" applyFont="1" applyFill="1" applyBorder="1" applyAlignment="1">
      <alignment horizontal="right" vertical="center" wrapText="1" shrinkToFit="1"/>
    </xf>
    <xf numFmtId="1" fontId="44" fillId="16" borderId="80" xfId="14" applyNumberFormat="1" applyFont="1" applyFill="1" applyBorder="1" applyAlignment="1">
      <alignment horizontal="right" vertical="center" wrapText="1" shrinkToFit="1"/>
    </xf>
    <xf numFmtId="3" fontId="44" fillId="16" borderId="81" xfId="14" applyNumberFormat="1" applyFont="1" applyFill="1" applyBorder="1" applyAlignment="1">
      <alignment horizontal="right" vertical="center" wrapText="1" shrinkToFit="1"/>
    </xf>
    <xf numFmtId="3" fontId="44" fillId="16" borderId="102" xfId="14" applyNumberFormat="1" applyFont="1" applyFill="1" applyBorder="1" applyAlignment="1">
      <alignment horizontal="right" vertical="center" wrapText="1" shrinkToFit="1"/>
    </xf>
    <xf numFmtId="169" fontId="44" fillId="16" borderId="75" xfId="6" applyNumberFormat="1" applyFont="1" applyFill="1" applyBorder="1" applyAlignment="1">
      <alignment horizontal="right" wrapText="1" shrinkToFit="1"/>
    </xf>
    <xf numFmtId="167" fontId="44" fillId="16" borderId="59" xfId="15" applyNumberFormat="1" applyFont="1" applyFill="1" applyBorder="1" applyAlignment="1">
      <alignment horizontal="right" vertical="center" wrapText="1" shrinkToFit="1"/>
    </xf>
    <xf numFmtId="167" fontId="44" fillId="16" borderId="105" xfId="14" applyNumberFormat="1" applyFont="1" applyFill="1" applyBorder="1" applyAlignment="1">
      <alignment horizontal="right" vertical="center" wrapText="1" shrinkToFit="1"/>
    </xf>
    <xf numFmtId="167" fontId="44" fillId="16" borderId="105" xfId="15" applyNumberFormat="1" applyFont="1" applyFill="1" applyBorder="1" applyAlignment="1">
      <alignment horizontal="right" vertical="center" wrapText="1" shrinkToFit="1"/>
    </xf>
    <xf numFmtId="1" fontId="44" fillId="16" borderId="105" xfId="15" applyNumberFormat="1" applyFont="1" applyFill="1" applyBorder="1" applyAlignment="1">
      <alignment horizontal="right" vertical="center" wrapText="1" shrinkToFit="1"/>
    </xf>
    <xf numFmtId="3" fontId="44" fillId="16" borderId="101" xfId="14" applyNumberFormat="1" applyFont="1" applyFill="1" applyBorder="1" applyAlignment="1">
      <alignment horizontal="right" vertical="center" wrapText="1" shrinkToFit="1"/>
    </xf>
    <xf numFmtId="49" fontId="44" fillId="16" borderId="101" xfId="14" applyNumberFormat="1" applyFont="1" applyFill="1" applyBorder="1" applyAlignment="1">
      <alignment horizontal="right" vertical="center" wrapText="1" shrinkToFit="1"/>
    </xf>
    <xf numFmtId="0" fontId="44" fillId="16" borderId="101" xfId="14" applyFont="1" applyFill="1" applyBorder="1" applyAlignment="1">
      <alignment horizontal="right" vertical="center" wrapText="1" shrinkToFit="1"/>
    </xf>
    <xf numFmtId="3" fontId="28" fillId="16" borderId="42" xfId="6" applyNumberFormat="1" applyFont="1" applyFill="1" applyBorder="1" applyAlignment="1">
      <alignment horizontal="left" vertical="center" wrapText="1"/>
    </xf>
    <xf numFmtId="169" fontId="28" fillId="16" borderId="104" xfId="6" applyNumberFormat="1" applyFont="1" applyFill="1" applyBorder="1" applyAlignment="1">
      <alignment horizontal="right" wrapText="1" shrinkToFit="1"/>
    </xf>
    <xf numFmtId="170" fontId="44" fillId="16" borderId="79" xfId="14" applyNumberFormat="1" applyFont="1" applyFill="1" applyBorder="1" applyAlignment="1">
      <alignment horizontal="right" vertical="center" wrapText="1" shrinkToFit="1"/>
    </xf>
    <xf numFmtId="169" fontId="44" fillId="16" borderId="60" xfId="6" applyNumberFormat="1" applyFont="1" applyFill="1" applyBorder="1" applyAlignment="1">
      <alignment horizontal="right" wrapText="1" shrinkToFit="1"/>
    </xf>
    <xf numFmtId="167" fontId="44" fillId="16" borderId="60" xfId="6" applyNumberFormat="1" applyFont="1" applyFill="1" applyBorder="1" applyAlignment="1">
      <alignment horizontal="right" wrapText="1" shrinkToFit="1"/>
    </xf>
    <xf numFmtId="167" fontId="44" fillId="16" borderId="60" xfId="15" applyNumberFormat="1" applyFont="1" applyFill="1" applyBorder="1" applyAlignment="1">
      <alignment horizontal="right" wrapText="1" shrinkToFit="1"/>
    </xf>
    <xf numFmtId="169" fontId="44" fillId="16" borderId="77" xfId="6" applyNumberFormat="1" applyFont="1" applyFill="1" applyBorder="1" applyAlignment="1">
      <alignment horizontal="right" wrapText="1" shrinkToFit="1"/>
    </xf>
    <xf numFmtId="9" fontId="44" fillId="16" borderId="59" xfId="6" applyNumberFormat="1" applyFont="1" applyFill="1" applyBorder="1" applyAlignment="1">
      <alignment horizontal="right" wrapText="1" shrinkToFit="1"/>
    </xf>
    <xf numFmtId="169" fontId="44" fillId="16" borderId="59" xfId="6" applyNumberFormat="1" applyFont="1" applyFill="1" applyBorder="1" applyAlignment="1">
      <alignment horizontal="right" wrapText="1" shrinkToFit="1"/>
    </xf>
    <xf numFmtId="169" fontId="44" fillId="16" borderId="76" xfId="6" applyNumberFormat="1" applyFont="1" applyFill="1" applyBorder="1" applyAlignment="1">
      <alignment horizontal="right" wrapText="1" shrinkToFit="1"/>
    </xf>
    <xf numFmtId="169" fontId="44" fillId="16" borderId="81" xfId="14" applyNumberFormat="1" applyFont="1" applyFill="1" applyBorder="1" applyAlignment="1">
      <alignment horizontal="right" vertical="center" wrapText="1" shrinkToFit="1"/>
    </xf>
    <xf numFmtId="167" fontId="44" fillId="16" borderId="89" xfId="15" applyNumberFormat="1" applyFont="1" applyFill="1" applyBorder="1" applyAlignment="1">
      <alignment horizontal="right" vertical="center" wrapText="1" shrinkToFit="1"/>
    </xf>
    <xf numFmtId="167" fontId="44" fillId="16" borderId="104" xfId="15" applyNumberFormat="1" applyFont="1" applyFill="1" applyBorder="1" applyAlignment="1">
      <alignment horizontal="right" wrapText="1" shrinkToFit="1"/>
    </xf>
    <xf numFmtId="169" fontId="44" fillId="16" borderId="104" xfId="15" applyNumberFormat="1" applyFont="1" applyFill="1" applyBorder="1" applyAlignment="1">
      <alignment horizontal="right" wrapText="1" shrinkToFit="1"/>
    </xf>
    <xf numFmtId="169" fontId="44" fillId="16" borderId="104" xfId="6" applyNumberFormat="1" applyFont="1" applyFill="1" applyBorder="1" applyAlignment="1">
      <alignment horizontal="right" wrapText="1" shrinkToFit="1"/>
    </xf>
    <xf numFmtId="0" fontId="44" fillId="16" borderId="104" xfId="6" applyNumberFormat="1" applyFont="1" applyFill="1" applyBorder="1" applyAlignment="1">
      <alignment horizontal="right" wrapText="1" shrinkToFit="1"/>
    </xf>
    <xf numFmtId="167" fontId="44" fillId="16" borderId="31" xfId="14" applyNumberFormat="1" applyFont="1" applyFill="1" applyBorder="1" applyAlignment="1">
      <alignment horizontal="right" vertical="center" wrapText="1" shrinkToFit="1"/>
    </xf>
    <xf numFmtId="1" fontId="44" fillId="16" borderId="96" xfId="15" applyNumberFormat="1" applyFont="1" applyFill="1" applyBorder="1" applyAlignment="1">
      <alignment horizontal="right" vertical="center" wrapText="1" shrinkToFit="1"/>
    </xf>
    <xf numFmtId="169" fontId="44" fillId="16" borderId="77" xfId="15" applyNumberFormat="1" applyFont="1" applyFill="1" applyBorder="1" applyAlignment="1">
      <alignment horizontal="right" wrapText="1" shrinkToFit="1"/>
    </xf>
    <xf numFmtId="0" fontId="20" fillId="19" borderId="16" xfId="0" applyFont="1" applyFill="1" applyBorder="1" applyProtection="1">
      <protection locked="0"/>
    </xf>
    <xf numFmtId="0" fontId="20" fillId="19" borderId="12" xfId="0" applyFont="1" applyFill="1" applyBorder="1" applyProtection="1">
      <protection locked="0"/>
    </xf>
    <xf numFmtId="0" fontId="20" fillId="19" borderId="38" xfId="0" applyFont="1" applyFill="1" applyBorder="1" applyProtection="1">
      <protection locked="0"/>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101" xfId="15" applyFont="1" applyFill="1" applyBorder="1" applyAlignment="1">
      <alignment horizontal="right" vertical="center"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20" fillId="19" borderId="12" xfId="0" applyNumberFormat="1" applyFont="1" applyFill="1" applyBorder="1" applyProtection="1">
      <protection locked="0"/>
    </xf>
    <xf numFmtId="2" fontId="20" fillId="19" borderId="16" xfId="0" applyNumberFormat="1" applyFont="1" applyFill="1" applyBorder="1" applyProtection="1">
      <protection locked="0"/>
    </xf>
    <xf numFmtId="2" fontId="20" fillId="19" borderId="38" xfId="0" applyNumberFormat="1" applyFont="1" applyFill="1" applyBorder="1" applyProtection="1">
      <protection locked="0"/>
    </xf>
    <xf numFmtId="2" fontId="20" fillId="20" borderId="6" xfId="0" applyNumberFormat="1" applyFont="1" applyFill="1" applyBorder="1" applyProtection="1">
      <protection locked="0"/>
    </xf>
    <xf numFmtId="2" fontId="20" fillId="19" borderId="6" xfId="0" applyNumberFormat="1" applyFont="1" applyFill="1" applyBorder="1" applyAlignment="1" applyProtection="1">
      <alignment wrapText="1"/>
      <protection locked="0"/>
    </xf>
    <xf numFmtId="2" fontId="20" fillId="20" borderId="35" xfId="0" applyNumberFormat="1" applyFont="1" applyFill="1" applyBorder="1" applyProtection="1">
      <protection locked="0"/>
    </xf>
    <xf numFmtId="2" fontId="20" fillId="19" borderId="35" xfId="0" applyNumberFormat="1" applyFont="1" applyFill="1" applyBorder="1" applyAlignment="1" applyProtection="1">
      <alignment wrapText="1"/>
      <protection locked="0"/>
    </xf>
    <xf numFmtId="9" fontId="33" fillId="0" borderId="0" xfId="0" applyNumberFormat="1" applyFont="1"/>
    <xf numFmtId="9" fontId="43" fillId="0" borderId="56" xfId="0" applyNumberFormat="1" applyFont="1" applyBorder="1" applyAlignment="1">
      <alignment horizontal="right"/>
    </xf>
    <xf numFmtId="9" fontId="43" fillId="0" borderId="35" xfId="0" applyNumberFormat="1" applyFont="1" applyBorder="1" applyAlignment="1">
      <alignment horizontal="right" shrinkToFit="1"/>
    </xf>
    <xf numFmtId="9" fontId="44" fillId="18" borderId="59" xfId="6" applyNumberFormat="1" applyFont="1" applyFill="1" applyBorder="1" applyAlignment="1">
      <alignment horizontal="right" shrinkToFit="1"/>
    </xf>
    <xf numFmtId="9" fontId="43" fillId="0" borderId="56" xfId="0" applyNumberFormat="1" applyFont="1" applyBorder="1" applyAlignment="1">
      <alignment horizontal="right" shrinkToFit="1"/>
    </xf>
    <xf numFmtId="9" fontId="44" fillId="18" borderId="42" xfId="6" applyNumberFormat="1" applyFont="1" applyFill="1" applyBorder="1" applyAlignment="1">
      <alignment horizontal="right" shrinkToFit="1"/>
    </xf>
    <xf numFmtId="9" fontId="44" fillId="16" borderId="101" xfId="14" applyNumberFormat="1" applyFont="1" applyFill="1" applyBorder="1" applyAlignment="1">
      <alignment horizontal="right" vertical="center" shrinkToFit="1"/>
    </xf>
    <xf numFmtId="9" fontId="44" fillId="16" borderId="60" xfId="6" applyNumberFormat="1" applyFont="1" applyFill="1" applyBorder="1" applyAlignment="1">
      <alignment horizontal="right" shrinkToFit="1"/>
    </xf>
    <xf numFmtId="9" fontId="44"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8" fillId="18" borderId="59" xfId="10" applyNumberFormat="1" applyFont="1" applyFill="1" applyBorder="1" applyAlignment="1">
      <alignment horizontal="right" wrapText="1" shrinkToFit="1"/>
    </xf>
    <xf numFmtId="1" fontId="43" fillId="0" borderId="108" xfId="0" applyNumberFormat="1" applyFont="1" applyBorder="1" applyAlignment="1">
      <alignment horizontal="right" wrapText="1" shrinkToFit="1"/>
    </xf>
    <xf numFmtId="9" fontId="43" fillId="0" borderId="108" xfId="19" applyFont="1" applyBorder="1" applyAlignment="1">
      <alignment horizontal="right" wrapText="1" shrinkToFit="1"/>
    </xf>
    <xf numFmtId="9" fontId="43" fillId="0" borderId="5" xfId="19" applyFont="1" applyFill="1" applyBorder="1" applyAlignment="1">
      <alignment horizontal="right" wrapText="1" shrinkToFit="1"/>
    </xf>
    <xf numFmtId="9" fontId="43" fillId="0" borderId="5" xfId="19" applyFont="1" applyBorder="1" applyAlignment="1">
      <alignment horizontal="right" wrapText="1" shrinkToFit="1"/>
    </xf>
    <xf numFmtId="9" fontId="28" fillId="18" borderId="59" xfId="19" applyFont="1" applyFill="1" applyBorder="1" applyAlignment="1">
      <alignment horizontal="right" wrapText="1" shrinkToFit="1"/>
    </xf>
    <xf numFmtId="9" fontId="45" fillId="4" borderId="9" xfId="19" applyFont="1" applyFill="1" applyBorder="1" applyAlignment="1">
      <alignment horizontal="right" vertical="center" wrapText="1" shrinkToFit="1"/>
    </xf>
    <xf numFmtId="9" fontId="43" fillId="0" borderId="0" xfId="19" applyFont="1" applyAlignment="1">
      <alignment wrapText="1"/>
    </xf>
    <xf numFmtId="1" fontId="43" fillId="0" borderId="24" xfId="0" applyNumberFormat="1" applyFont="1" applyBorder="1" applyAlignment="1">
      <alignment horizontal="right" shrinkToFit="1"/>
    </xf>
    <xf numFmtId="170" fontId="43" fillId="0" borderId="22" xfId="0" applyNumberFormat="1" applyFont="1" applyBorder="1" applyAlignment="1">
      <alignment horizontal="right" shrinkToFit="1"/>
    </xf>
    <xf numFmtId="2" fontId="43" fillId="0" borderId="35" xfId="0" applyNumberFormat="1" applyFont="1" applyBorder="1" applyAlignment="1">
      <alignment horizontal="right" shrinkToFit="1"/>
    </xf>
    <xf numFmtId="0" fontId="17" fillId="0" borderId="0" xfId="0" applyFont="1"/>
    <xf numFmtId="0" fontId="17" fillId="0" borderId="0" xfId="0" applyFont="1" applyAlignment="1">
      <alignment vertical="center"/>
    </xf>
    <xf numFmtId="49" fontId="17" fillId="0" borderId="0" xfId="0" applyNumberFormat="1" applyFont="1"/>
    <xf numFmtId="3" fontId="17" fillId="0" borderId="0" xfId="0" applyNumberFormat="1" applyFont="1" applyAlignment="1">
      <alignment horizontal="right" shrinkToFit="1"/>
    </xf>
    <xf numFmtId="4" fontId="17" fillId="0" borderId="0" xfId="0" applyNumberFormat="1" applyFont="1" applyAlignment="1">
      <alignment horizontal="right" shrinkToFit="1"/>
    </xf>
    <xf numFmtId="0" fontId="78" fillId="0" borderId="0" xfId="0" applyFont="1" applyAlignment="1">
      <alignment horizontal="center" vertical="center"/>
    </xf>
    <xf numFmtId="0" fontId="78" fillId="0" borderId="62" xfId="0" applyFont="1" applyBorder="1" applyAlignment="1">
      <alignment horizontal="center" vertical="center"/>
    </xf>
    <xf numFmtId="1" fontId="43" fillId="0" borderId="72" xfId="0" applyNumberFormat="1" applyFont="1" applyBorder="1" applyAlignment="1">
      <alignment horizontal="right" shrinkToFit="1"/>
    </xf>
    <xf numFmtId="1" fontId="43" fillId="0" borderId="74" xfId="0" applyNumberFormat="1" applyFont="1" applyBorder="1" applyAlignment="1">
      <alignment horizontal="right" shrinkToFit="1"/>
    </xf>
    <xf numFmtId="1" fontId="43" fillId="0" borderId="51" xfId="0" applyNumberFormat="1" applyFont="1" applyBorder="1" applyAlignment="1">
      <alignment horizontal="right" shrinkToFit="1"/>
    </xf>
    <xf numFmtId="167" fontId="43" fillId="0" borderId="35" xfId="0" applyNumberFormat="1" applyFont="1" applyBorder="1" applyAlignment="1">
      <alignment horizontal="right"/>
    </xf>
    <xf numFmtId="2" fontId="43" fillId="0" borderId="72" xfId="0" applyNumberFormat="1" applyFont="1" applyBorder="1" applyAlignment="1">
      <alignment horizontal="right"/>
    </xf>
    <xf numFmtId="2" fontId="43" fillId="0" borderId="51" xfId="0" applyNumberFormat="1" applyFont="1" applyBorder="1" applyAlignment="1">
      <alignment horizontal="right"/>
    </xf>
    <xf numFmtId="2" fontId="43" fillId="0" borderId="74" xfId="0" applyNumberFormat="1" applyFont="1" applyBorder="1" applyAlignment="1">
      <alignment horizontal="right"/>
    </xf>
    <xf numFmtId="0" fontId="43" fillId="0" borderId="5" xfId="0" applyFont="1" applyBorder="1"/>
    <xf numFmtId="0" fontId="43" fillId="0" borderId="18" xfId="0" applyFont="1" applyBorder="1"/>
    <xf numFmtId="0" fontId="43" fillId="0" borderId="19" xfId="0" applyFont="1" applyBorder="1"/>
    <xf numFmtId="1" fontId="43" fillId="0" borderId="35" xfId="0" applyNumberFormat="1" applyFont="1" applyBorder="1" applyAlignment="1">
      <alignment horizontal="justify" vertical="center" wrapText="1"/>
    </xf>
    <xf numFmtId="10" fontId="43" fillId="0" borderId="16" xfId="0" applyNumberFormat="1" applyFont="1" applyBorder="1" applyAlignment="1">
      <alignment horizontal="right" shrinkToFit="1"/>
    </xf>
    <xf numFmtId="10" fontId="43" fillId="0" borderId="18" xfId="15" applyNumberFormat="1" applyFont="1" applyBorder="1" applyAlignment="1">
      <alignment horizontal="right" shrinkToFit="1"/>
    </xf>
    <xf numFmtId="2" fontId="43" fillId="0" borderId="16" xfId="15" applyNumberFormat="1" applyFont="1" applyBorder="1" applyAlignment="1">
      <alignment horizontal="right" shrinkToFit="1"/>
    </xf>
    <xf numFmtId="0" fontId="43" fillId="0" borderId="63" xfId="0" applyFont="1" applyBorder="1"/>
    <xf numFmtId="3" fontId="45" fillId="18" borderId="35" xfId="6" applyNumberFormat="1" applyFont="1" applyFill="1" applyBorder="1" applyAlignment="1">
      <alignment horizontal="right" vertical="center"/>
    </xf>
    <xf numFmtId="3" fontId="45" fillId="18" borderId="16" xfId="6" applyNumberFormat="1" applyFont="1" applyFill="1" applyBorder="1" applyAlignment="1">
      <alignment horizontal="right" shrinkToFit="1"/>
    </xf>
    <xf numFmtId="3" fontId="45" fillId="18" borderId="5" xfId="6" applyNumberFormat="1" applyFont="1" applyFill="1" applyBorder="1" applyAlignment="1">
      <alignment horizontal="right" shrinkToFit="1"/>
    </xf>
    <xf numFmtId="49" fontId="45" fillId="18" borderId="5" xfId="6" applyNumberFormat="1" applyFont="1" applyFill="1" applyBorder="1" applyAlignment="1">
      <alignment horizontal="right" shrinkToFit="1"/>
    </xf>
    <xf numFmtId="1" fontId="45" fillId="18" borderId="18" xfId="6" applyNumberFormat="1" applyFont="1" applyFill="1" applyBorder="1" applyAlignment="1">
      <alignment horizontal="right" shrinkToFit="1"/>
    </xf>
    <xf numFmtId="3" fontId="45" fillId="18" borderId="51" xfId="6" applyNumberFormat="1" applyFont="1" applyFill="1" applyBorder="1" applyAlignment="1">
      <alignment horizontal="right" shrinkToFit="1"/>
    </xf>
    <xf numFmtId="10" fontId="45" fillId="18" borderId="16" xfId="6" applyNumberFormat="1" applyFont="1" applyFill="1" applyBorder="1" applyAlignment="1">
      <alignment horizontal="right" shrinkToFit="1"/>
    </xf>
    <xf numFmtId="10" fontId="45" fillId="18" borderId="18" xfId="6" applyNumberFormat="1" applyFont="1" applyFill="1" applyBorder="1" applyAlignment="1">
      <alignment horizontal="right" shrinkToFit="1"/>
    </xf>
    <xf numFmtId="10" fontId="45" fillId="18" borderId="35" xfId="6" applyNumberFormat="1" applyFont="1" applyFill="1" applyBorder="1" applyAlignment="1">
      <alignment horizontal="right" shrinkToFit="1"/>
    </xf>
    <xf numFmtId="3" fontId="45" fillId="18" borderId="35" xfId="6" applyNumberFormat="1" applyFont="1" applyFill="1" applyBorder="1" applyAlignment="1">
      <alignment horizontal="right" shrinkToFit="1"/>
    </xf>
    <xf numFmtId="4" fontId="45" fillId="18" borderId="16" xfId="6" applyNumberFormat="1" applyFont="1" applyFill="1" applyBorder="1" applyAlignment="1">
      <alignment horizontal="right" shrinkToFit="1"/>
    </xf>
    <xf numFmtId="4" fontId="45" fillId="18" borderId="18" xfId="6" applyNumberFormat="1" applyFont="1" applyFill="1" applyBorder="1" applyAlignment="1">
      <alignment horizontal="right" shrinkToFit="1"/>
    </xf>
    <xf numFmtId="167" fontId="45" fillId="18" borderId="18" xfId="6" applyNumberFormat="1" applyFont="1" applyFill="1" applyBorder="1" applyAlignment="1">
      <alignment horizontal="right" shrinkToFit="1"/>
    </xf>
    <xf numFmtId="1" fontId="45" fillId="18" borderId="17" xfId="6" applyNumberFormat="1" applyFont="1" applyFill="1" applyBorder="1" applyAlignment="1">
      <alignment horizontal="right" shrinkToFit="1"/>
    </xf>
    <xf numFmtId="1" fontId="45" fillId="18" borderId="74" xfId="6" applyNumberFormat="1" applyFont="1" applyFill="1" applyBorder="1" applyAlignment="1">
      <alignment horizontal="right" shrinkToFit="1"/>
    </xf>
    <xf numFmtId="1" fontId="45" fillId="18" borderId="5" xfId="6" applyNumberFormat="1" applyFont="1" applyFill="1" applyBorder="1" applyAlignment="1">
      <alignment horizontal="right" shrinkToFit="1"/>
    </xf>
    <xf numFmtId="3" fontId="43" fillId="0" borderId="74" xfId="0" applyNumberFormat="1" applyFont="1" applyBorder="1" applyAlignment="1">
      <alignment horizontal="right" shrinkToFit="1"/>
    </xf>
    <xf numFmtId="167" fontId="43" fillId="0" borderId="51" xfId="0" applyNumberFormat="1" applyFont="1" applyBorder="1" applyAlignment="1">
      <alignment horizontal="right" shrinkToFit="1"/>
    </xf>
    <xf numFmtId="2" fontId="43" fillId="0" borderId="72" xfId="15" applyNumberFormat="1" applyFont="1" applyBorder="1" applyAlignment="1">
      <alignment horizontal="right" shrinkToFit="1"/>
    </xf>
    <xf numFmtId="2" fontId="43" fillId="0" borderId="51" xfId="0" applyNumberFormat="1" applyFont="1" applyBorder="1" applyAlignment="1">
      <alignment horizontal="right" shrinkToFit="1"/>
    </xf>
    <xf numFmtId="4" fontId="43" fillId="0" borderId="72" xfId="0" applyNumberFormat="1" applyFont="1" applyBorder="1" applyAlignment="1">
      <alignment horizontal="right" shrinkToFit="1"/>
    </xf>
    <xf numFmtId="4" fontId="43" fillId="0" borderId="74" xfId="0" applyNumberFormat="1" applyFont="1" applyBorder="1" applyAlignment="1">
      <alignment horizontal="right" shrinkToFit="1"/>
    </xf>
    <xf numFmtId="3" fontId="45" fillId="16" borderId="42" xfId="14" applyNumberFormat="1" applyFont="1" applyFill="1" applyBorder="1" applyAlignment="1">
      <alignment horizontal="left" vertical="center"/>
    </xf>
    <xf numFmtId="3" fontId="45" fillId="16" borderId="75" xfId="14" applyNumberFormat="1" applyFont="1" applyFill="1" applyBorder="1" applyAlignment="1">
      <alignment horizontal="right" vertical="center" shrinkToFit="1"/>
    </xf>
    <xf numFmtId="3" fontId="45" fillId="16" borderId="59" xfId="14" applyNumberFormat="1" applyFont="1" applyFill="1" applyBorder="1" applyAlignment="1">
      <alignment horizontal="right" vertical="center" shrinkToFit="1"/>
    </xf>
    <xf numFmtId="3" fontId="45" fillId="16" borderId="76" xfId="14" applyNumberFormat="1" applyFont="1" applyFill="1" applyBorder="1" applyAlignment="1">
      <alignment horizontal="right" vertical="center" shrinkToFit="1"/>
    </xf>
    <xf numFmtId="3" fontId="45" fillId="16" borderId="60" xfId="14" applyNumberFormat="1" applyFont="1" applyFill="1" applyBorder="1" applyAlignment="1">
      <alignment horizontal="right" vertical="center" shrinkToFit="1"/>
    </xf>
    <xf numFmtId="10" fontId="45" fillId="16" borderId="75" xfId="14" applyNumberFormat="1" applyFont="1" applyFill="1" applyBorder="1" applyAlignment="1">
      <alignment horizontal="right" vertical="center" shrinkToFit="1"/>
    </xf>
    <xf numFmtId="10" fontId="45" fillId="16" borderId="60" xfId="14" applyNumberFormat="1" applyFont="1" applyFill="1" applyBorder="1" applyAlignment="1">
      <alignment horizontal="right" vertical="center" shrinkToFit="1"/>
    </xf>
    <xf numFmtId="10" fontId="45" fillId="16" borderId="42" xfId="14" applyNumberFormat="1" applyFont="1" applyFill="1" applyBorder="1" applyAlignment="1">
      <alignment horizontal="right" vertical="center" shrinkToFit="1"/>
    </xf>
    <xf numFmtId="3" fontId="45" fillId="16" borderId="42" xfId="14" applyNumberFormat="1" applyFont="1" applyFill="1" applyBorder="1" applyAlignment="1">
      <alignment horizontal="right" vertical="center" shrinkToFit="1"/>
    </xf>
    <xf numFmtId="3" fontId="45" fillId="16" borderId="104" xfId="14" applyNumberFormat="1" applyFont="1" applyFill="1" applyBorder="1" applyAlignment="1">
      <alignment horizontal="right" vertical="center" shrinkToFit="1"/>
    </xf>
    <xf numFmtId="4" fontId="45" fillId="16" borderId="104" xfId="14" applyNumberFormat="1" applyFont="1" applyFill="1" applyBorder="1" applyAlignment="1">
      <alignment horizontal="right" vertical="center" shrinkToFit="1"/>
    </xf>
    <xf numFmtId="167" fontId="45" fillId="16" borderId="104" xfId="14" applyNumberFormat="1" applyFont="1" applyFill="1" applyBorder="1" applyAlignment="1">
      <alignment horizontal="right" vertical="center" shrinkToFit="1"/>
    </xf>
    <xf numFmtId="1" fontId="45" fillId="16" borderId="100" xfId="14" applyNumberFormat="1" applyFont="1" applyFill="1" applyBorder="1" applyAlignment="1">
      <alignment horizontal="right" vertical="center" shrinkToFit="1"/>
    </xf>
    <xf numFmtId="1" fontId="45" fillId="16" borderId="104" xfId="14" applyNumberFormat="1" applyFont="1" applyFill="1" applyBorder="1" applyAlignment="1">
      <alignment horizontal="right" vertical="center" shrinkToFit="1"/>
    </xf>
    <xf numFmtId="1" fontId="45" fillId="16" borderId="77" xfId="14" applyNumberFormat="1" applyFont="1" applyFill="1" applyBorder="1" applyAlignment="1">
      <alignment horizontal="right" vertical="center" shrinkToFit="1"/>
    </xf>
    <xf numFmtId="0" fontId="42" fillId="10" borderId="30" xfId="0" applyFont="1" applyFill="1" applyBorder="1"/>
    <xf numFmtId="0" fontId="79" fillId="0" borderId="65" xfId="0" applyFont="1" applyBorder="1"/>
    <xf numFmtId="49" fontId="79" fillId="0" borderId="65" xfId="0" applyNumberFormat="1" applyFont="1" applyBorder="1"/>
    <xf numFmtId="0" fontId="79" fillId="10" borderId="23" xfId="0" applyFont="1" applyFill="1" applyBorder="1" applyAlignment="1">
      <alignment horizontal="center"/>
    </xf>
    <xf numFmtId="0" fontId="28" fillId="0" borderId="0" xfId="0" applyFont="1" applyAlignment="1">
      <alignment vertical="center" wrapText="1"/>
    </xf>
    <xf numFmtId="0" fontId="28" fillId="2" borderId="58" xfId="0" applyFont="1" applyFill="1" applyBorder="1" applyAlignment="1">
      <alignment horizontal="center" vertical="center"/>
    </xf>
    <xf numFmtId="0" fontId="28" fillId="16" borderId="68" xfId="0" applyFont="1" applyFill="1" applyBorder="1" applyAlignment="1">
      <alignment vertical="center" wrapText="1"/>
    </xf>
    <xf numFmtId="0" fontId="28" fillId="16" borderId="93" xfId="0" applyFont="1" applyFill="1" applyBorder="1" applyAlignment="1">
      <alignment vertical="center" wrapText="1"/>
    </xf>
    <xf numFmtId="0" fontId="28" fillId="16" borderId="94" xfId="0" applyFont="1" applyFill="1" applyBorder="1" applyAlignment="1">
      <alignment vertical="center" wrapText="1"/>
    </xf>
    <xf numFmtId="0" fontId="28" fillId="16" borderId="50" xfId="0" applyFont="1" applyFill="1" applyBorder="1" applyAlignment="1">
      <alignment vertical="center" wrapText="1"/>
    </xf>
    <xf numFmtId="0" fontId="28" fillId="16" borderId="12" xfId="0" applyFont="1" applyFill="1" applyBorder="1" applyAlignment="1">
      <alignment vertical="center" wrapText="1"/>
    </xf>
    <xf numFmtId="49" fontId="23" fillId="21" borderId="46" xfId="0" applyNumberFormat="1" applyFont="1" applyFill="1" applyBorder="1"/>
    <xf numFmtId="3" fontId="28" fillId="18" borderId="35" xfId="6" applyNumberFormat="1" applyFont="1" applyFill="1" applyBorder="1" applyAlignment="1">
      <alignment horizontal="right"/>
    </xf>
    <xf numFmtId="3" fontId="28" fillId="16" borderId="42" xfId="14" applyNumberFormat="1" applyFont="1" applyFill="1" applyBorder="1" applyAlignment="1">
      <alignment horizontal="left" vertical="center"/>
    </xf>
    <xf numFmtId="0" fontId="33" fillId="0" borderId="0" xfId="0" applyFont="1" applyAlignment="1">
      <alignment horizontal="justify" vertical="top" wrapText="1"/>
    </xf>
    <xf numFmtId="1" fontId="52" fillId="0" borderId="72" xfId="0" applyNumberFormat="1" applyFont="1" applyBorder="1" applyAlignment="1">
      <alignment horizontal="right" shrinkToFit="1"/>
    </xf>
    <xf numFmtId="1" fontId="52" fillId="0" borderId="51" xfId="0" applyNumberFormat="1" applyFont="1" applyBorder="1" applyAlignment="1">
      <alignment horizontal="right" shrinkToFit="1"/>
    </xf>
    <xf numFmtId="3" fontId="62" fillId="18" borderId="107" xfId="6" applyNumberFormat="1" applyFont="1" applyFill="1" applyBorder="1" applyAlignment="1">
      <alignment horizontal="right"/>
    </xf>
    <xf numFmtId="9" fontId="56" fillId="2" borderId="5" xfId="15" applyFont="1" applyFill="1" applyBorder="1" applyAlignment="1">
      <alignment horizontal="center" wrapText="1"/>
    </xf>
    <xf numFmtId="0" fontId="80" fillId="0" borderId="0" xfId="0" applyFont="1" applyAlignment="1">
      <alignment horizontal="left" vertical="center"/>
    </xf>
    <xf numFmtId="0" fontId="0" fillId="22" borderId="0" xfId="0" applyFill="1"/>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1" fontId="12" fillId="0" borderId="0" xfId="0" applyNumberFormat="1" applyFont="1" applyAlignment="1">
      <alignment horizontal="left" wrapText="1"/>
    </xf>
    <xf numFmtId="49" fontId="12" fillId="0" borderId="0" xfId="0" applyNumberFormat="1" applyFont="1"/>
    <xf numFmtId="9" fontId="28" fillId="18" borderId="59" xfId="6" applyNumberFormat="1" applyFont="1" applyFill="1" applyBorder="1" applyAlignment="1">
      <alignment horizontal="right" shrinkToFit="1"/>
    </xf>
    <xf numFmtId="9" fontId="33" fillId="0" borderId="54" xfId="0" applyNumberFormat="1" applyFont="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9" fontId="43" fillId="0" borderId="19" xfId="0" applyNumberFormat="1" applyFont="1" applyBorder="1" applyAlignment="1">
      <alignment horizontal="right" shrinkToFit="1"/>
    </xf>
    <xf numFmtId="9" fontId="28" fillId="18" borderId="77" xfId="6" applyNumberFormat="1" applyFont="1" applyFill="1" applyBorder="1" applyAlignment="1">
      <alignment horizontal="right" shrinkToFit="1"/>
    </xf>
    <xf numFmtId="9" fontId="28" fillId="18" borderId="110" xfId="6" applyNumberFormat="1" applyFont="1" applyFill="1" applyBorder="1" applyAlignment="1">
      <alignment horizontal="right" shrinkToFit="1"/>
    </xf>
    <xf numFmtId="9" fontId="44" fillId="16" borderId="73" xfId="14" applyNumberFormat="1" applyFont="1" applyFill="1" applyBorder="1" applyAlignment="1">
      <alignment horizontal="right" vertical="center" shrinkToFit="1"/>
    </xf>
    <xf numFmtId="9" fontId="44" fillId="16" borderId="75" xfId="6" applyNumberFormat="1" applyFont="1" applyFill="1" applyBorder="1" applyAlignment="1">
      <alignment horizontal="right" shrinkToFit="1"/>
    </xf>
    <xf numFmtId="9" fontId="44" fillId="4" borderId="32" xfId="14" applyNumberFormat="1" applyFont="1" applyFill="1" applyBorder="1" applyAlignment="1">
      <alignment horizontal="right" vertical="center" shrinkToFit="1"/>
    </xf>
    <xf numFmtId="9" fontId="42" fillId="0" borderId="0" xfId="0" applyNumberFormat="1" applyFont="1"/>
    <xf numFmtId="9" fontId="44" fillId="4" borderId="9" xfId="14" applyNumberFormat="1" applyFont="1" applyFill="1" applyBorder="1" applyAlignment="1">
      <alignment horizontal="right" vertical="center" shrinkToFit="1"/>
    </xf>
    <xf numFmtId="9" fontId="43" fillId="0" borderId="22" xfId="0" applyNumberFormat="1" applyFont="1" applyBorder="1" applyAlignment="1">
      <alignment horizontal="right" shrinkToFit="1"/>
    </xf>
    <xf numFmtId="9" fontId="43" fillId="0" borderId="5" xfId="0" applyNumberFormat="1" applyFont="1" applyBorder="1" applyAlignment="1">
      <alignment horizontal="right" wrapText="1" shrinkToFit="1"/>
    </xf>
    <xf numFmtId="9" fontId="28" fillId="18" borderId="59" xfId="6" applyNumberFormat="1" applyFont="1" applyFill="1" applyBorder="1" applyAlignment="1">
      <alignment horizontal="right" wrapText="1" shrinkToFit="1"/>
    </xf>
    <xf numFmtId="9" fontId="33" fillId="0" borderId="54" xfId="0" applyNumberFormat="1" applyFont="1" applyBorder="1" applyAlignment="1">
      <alignment horizontal="right" wrapText="1" shrinkToFit="1"/>
    </xf>
    <xf numFmtId="9" fontId="43" fillId="14" borderId="5" xfId="0" applyNumberFormat="1" applyFont="1" applyFill="1" applyBorder="1" applyAlignment="1">
      <alignment horizontal="right" wrapText="1" shrinkToFit="1"/>
    </xf>
    <xf numFmtId="9" fontId="44" fillId="16" borderId="96" xfId="14" applyNumberFormat="1" applyFont="1" applyFill="1" applyBorder="1" applyAlignment="1">
      <alignment horizontal="right" vertical="center" wrapText="1" shrinkToFit="1"/>
    </xf>
    <xf numFmtId="9" fontId="44" fillId="16" borderId="60" xfId="6" applyNumberFormat="1" applyFont="1" applyFill="1" applyBorder="1" applyAlignment="1">
      <alignment horizontal="right" wrapText="1" shrinkToFit="1"/>
    </xf>
    <xf numFmtId="9" fontId="45" fillId="4" borderId="9" xfId="14" applyNumberFormat="1" applyFont="1" applyFill="1" applyBorder="1" applyAlignment="1">
      <alignment horizontal="right" vertical="center" wrapText="1" shrinkToFit="1"/>
    </xf>
    <xf numFmtId="9" fontId="43" fillId="0" borderId="0" xfId="0" applyNumberFormat="1" applyFont="1" applyAlignment="1">
      <alignment wrapText="1"/>
    </xf>
    <xf numFmtId="9" fontId="44" fillId="16" borderId="60" xfId="15" applyFont="1" applyFill="1" applyBorder="1" applyAlignment="1">
      <alignment horizontal="right" wrapText="1" shrinkToFit="1"/>
    </xf>
    <xf numFmtId="0" fontId="0" fillId="0" borderId="0" xfId="0" applyAlignment="1">
      <alignment horizontal="center"/>
    </xf>
    <xf numFmtId="0" fontId="81" fillId="0" borderId="0" xfId="0" applyFont="1" applyAlignment="1">
      <alignment horizontal="left" vertical="center"/>
    </xf>
    <xf numFmtId="0" fontId="31" fillId="21" borderId="9" xfId="0" applyFont="1" applyFill="1" applyBorder="1" applyAlignment="1">
      <alignment horizontal="center" vertical="center" wrapText="1"/>
    </xf>
    <xf numFmtId="1" fontId="20" fillId="0" borderId="68" xfId="0" applyNumberFormat="1" applyFont="1" applyBorder="1" applyProtection="1">
      <protection locked="0"/>
    </xf>
    <xf numFmtId="1" fontId="0" fillId="23" borderId="5" xfId="0" applyNumberFormat="1" applyFill="1" applyBorder="1" applyProtection="1">
      <protection locked="0"/>
    </xf>
    <xf numFmtId="1" fontId="20" fillId="23" borderId="47" xfId="0" applyNumberFormat="1" applyFont="1" applyFill="1" applyBorder="1" applyProtection="1">
      <protection locked="0"/>
    </xf>
    <xf numFmtId="1" fontId="20" fillId="4" borderId="5" xfId="0" applyNumberFormat="1" applyFont="1" applyFill="1" applyBorder="1" applyProtection="1">
      <protection locked="0"/>
    </xf>
    <xf numFmtId="0" fontId="28" fillId="16" borderId="1" xfId="0" applyFont="1" applyFill="1" applyBorder="1" applyAlignment="1">
      <alignment vertical="center" wrapText="1"/>
    </xf>
    <xf numFmtId="167" fontId="43" fillId="0" borderId="18" xfId="0" applyNumberFormat="1" applyFont="1" applyBorder="1" applyAlignment="1">
      <alignment horizontal="right"/>
    </xf>
    <xf numFmtId="0" fontId="0" fillId="0" borderId="0" xfId="0" applyAlignment="1">
      <alignment horizontal="left"/>
    </xf>
    <xf numFmtId="0" fontId="31" fillId="21" borderId="9" xfId="0" applyFont="1" applyFill="1" applyBorder="1" applyAlignment="1">
      <alignment horizontal="left" vertical="center" wrapText="1"/>
    </xf>
    <xf numFmtId="167" fontId="45" fillId="18" borderId="18" xfId="6" applyNumberFormat="1" applyFont="1" applyFill="1" applyBorder="1" applyAlignment="1" applyProtection="1">
      <alignment horizontal="right" shrinkToFit="1"/>
    </xf>
    <xf numFmtId="1" fontId="43" fillId="0" borderId="17" xfId="0" applyNumberFormat="1" applyFont="1" applyBorder="1" applyAlignment="1" applyProtection="1">
      <alignment horizontal="right" shrinkToFit="1"/>
      <protection locked="0"/>
    </xf>
    <xf numFmtId="1" fontId="45" fillId="18" borderId="18" xfId="6" applyNumberFormat="1" applyFont="1" applyFill="1" applyBorder="1" applyAlignment="1" applyProtection="1">
      <alignment horizontal="right" shrinkToFit="1"/>
      <protection locked="0"/>
    </xf>
    <xf numFmtId="1" fontId="43" fillId="0" borderId="74" xfId="0" applyNumberFormat="1" applyFont="1" applyBorder="1" applyAlignment="1" applyProtection="1">
      <alignment horizontal="right" shrinkToFit="1"/>
      <protection locked="0"/>
    </xf>
    <xf numFmtId="1" fontId="45" fillId="16" borderId="104" xfId="14" applyNumberFormat="1" applyFont="1" applyFill="1" applyBorder="1" applyAlignment="1" applyProtection="1">
      <alignment horizontal="right" vertical="center" shrinkToFit="1"/>
      <protection locked="0"/>
    </xf>
    <xf numFmtId="167" fontId="85" fillId="0" borderId="18" xfId="0" applyNumberFormat="1" applyFont="1" applyBorder="1" applyAlignment="1">
      <alignment horizontal="right"/>
    </xf>
    <xf numFmtId="2" fontId="20" fillId="27" borderId="6" xfId="0" applyNumberFormat="1" applyFont="1" applyFill="1" applyBorder="1" applyProtection="1">
      <protection locked="0"/>
    </xf>
    <xf numFmtId="0" fontId="60" fillId="13" borderId="47" xfId="0" applyFont="1" applyFill="1" applyBorder="1" applyAlignment="1">
      <alignment horizontal="justify" vertical="top" wrapText="1"/>
    </xf>
    <xf numFmtId="0" fontId="60" fillId="13" borderId="85" xfId="0" applyFont="1" applyFill="1" applyBorder="1" applyAlignment="1">
      <alignment horizontal="justify" vertical="top" wrapText="1"/>
    </xf>
    <xf numFmtId="0" fontId="60" fillId="13" borderId="33" xfId="0" applyFont="1" applyFill="1" applyBorder="1" applyAlignment="1">
      <alignment horizontal="justify" vertical="top" wrapText="1"/>
    </xf>
    <xf numFmtId="0" fontId="28" fillId="16" borderId="36" xfId="25" applyFont="1" applyFill="1" applyBorder="1" applyAlignment="1">
      <alignment vertical="center" wrapText="1"/>
    </xf>
    <xf numFmtId="0" fontId="28" fillId="16" borderId="12" xfId="25" applyFont="1" applyFill="1" applyBorder="1" applyAlignment="1">
      <alignment vertical="center" wrapText="1"/>
    </xf>
    <xf numFmtId="2" fontId="44" fillId="18" borderId="42" xfId="6" applyNumberFormat="1" applyFont="1" applyFill="1" applyBorder="1" applyAlignment="1">
      <alignment horizontal="right" shrinkToFit="1"/>
    </xf>
    <xf numFmtId="2" fontId="44" fillId="16" borderId="101" xfId="14" applyNumberFormat="1" applyFont="1" applyFill="1" applyBorder="1" applyAlignment="1">
      <alignment horizontal="right" vertical="center" shrinkToFit="1"/>
    </xf>
    <xf numFmtId="2" fontId="44" fillId="16" borderId="104" xfId="6" applyNumberFormat="1" applyFont="1" applyFill="1" applyBorder="1" applyAlignment="1">
      <alignment horizontal="right" shrinkToFit="1"/>
    </xf>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43" fillId="0" borderId="72" xfId="0" applyNumberFormat="1" applyFont="1" applyBorder="1" applyAlignment="1">
      <alignment horizontal="justify" vertical="top" wrapText="1"/>
    </xf>
    <xf numFmtId="2" fontId="28" fillId="18" borderId="106" xfId="6" applyNumberFormat="1" applyFont="1" applyFill="1" applyBorder="1" applyAlignment="1">
      <alignment horizontal="right"/>
    </xf>
    <xf numFmtId="2" fontId="44" fillId="16" borderId="79" xfId="14" applyNumberFormat="1" applyFont="1" applyFill="1" applyBorder="1" applyAlignment="1">
      <alignment horizontal="right" vertical="center" shrinkToFit="1"/>
    </xf>
    <xf numFmtId="2" fontId="44" fillId="16" borderId="75" xfId="6" applyNumberFormat="1" applyFont="1" applyFill="1" applyBorder="1" applyAlignment="1">
      <alignment horizontal="right" shrinkToFit="1"/>
    </xf>
    <xf numFmtId="2" fontId="43" fillId="14" borderId="35" xfId="0" applyNumberFormat="1" applyFont="1" applyFill="1" applyBorder="1" applyAlignment="1">
      <alignment horizontal="right" wrapText="1" shrinkToFit="1"/>
    </xf>
    <xf numFmtId="2" fontId="43" fillId="0" borderId="35" xfId="0" applyNumberFormat="1" applyFont="1" applyBorder="1" applyAlignment="1">
      <alignment horizontal="right" wrapText="1" shrinkToFit="1"/>
    </xf>
    <xf numFmtId="2" fontId="28" fillId="16" borderId="101" xfId="14" applyNumberFormat="1" applyFont="1" applyFill="1" applyBorder="1" applyAlignment="1">
      <alignment horizontal="right" vertical="center" wrapText="1" shrinkToFit="1"/>
    </xf>
    <xf numFmtId="2" fontId="28" fillId="16" borderId="104" xfId="6" applyNumberFormat="1" applyFont="1" applyFill="1" applyBorder="1" applyAlignment="1">
      <alignment horizontal="right" wrapText="1" shrinkToFit="1"/>
    </xf>
    <xf numFmtId="49" fontId="20" fillId="0" borderId="19" xfId="51" applyNumberFormat="1" applyFont="1" applyBorder="1" applyProtection="1">
      <protection locked="0"/>
    </xf>
    <xf numFmtId="49" fontId="20" fillId="0" borderId="5" xfId="51" applyNumberFormat="1" applyFont="1" applyBorder="1" applyProtection="1">
      <protection locked="0"/>
    </xf>
    <xf numFmtId="49" fontId="20" fillId="0" borderId="33" xfId="51" applyNumberFormat="1" applyFont="1" applyBorder="1" applyProtection="1">
      <protection locked="0"/>
    </xf>
    <xf numFmtId="49" fontId="20" fillId="0" borderId="34" xfId="51" applyNumberFormat="1" applyFont="1" applyBorder="1" applyProtection="1">
      <protection locked="0"/>
    </xf>
    <xf numFmtId="1" fontId="20" fillId="0" borderId="34" xfId="51" applyNumberFormat="1" applyFont="1" applyBorder="1" applyProtection="1">
      <protection locked="0"/>
    </xf>
    <xf numFmtId="1" fontId="20" fillId="0" borderId="33" xfId="51" applyNumberFormat="1" applyFont="1" applyBorder="1" applyProtection="1">
      <protection locked="0"/>
    </xf>
    <xf numFmtId="49" fontId="20" fillId="0" borderId="38" xfId="51" applyNumberFormat="1" applyFont="1" applyBorder="1" applyProtection="1">
      <protection locked="0"/>
    </xf>
    <xf numFmtId="49" fontId="7" fillId="0" borderId="38" xfId="51" applyNumberFormat="1" applyFont="1" applyBorder="1" applyProtection="1">
      <protection locked="0"/>
    </xf>
    <xf numFmtId="49" fontId="7" fillId="0" borderId="33" xfId="51" applyNumberFormat="1" applyFont="1" applyBorder="1" applyProtection="1">
      <protection locked="0"/>
    </xf>
    <xf numFmtId="49" fontId="7" fillId="0" borderId="34" xfId="51" applyNumberFormat="1" applyFont="1" applyBorder="1" applyProtection="1">
      <protection locked="0"/>
    </xf>
    <xf numFmtId="0" fontId="7" fillId="0" borderId="0" xfId="0" applyFont="1"/>
    <xf numFmtId="1" fontId="7" fillId="0" borderId="0" xfId="0" applyNumberFormat="1" applyFont="1"/>
    <xf numFmtId="3" fontId="44" fillId="16" borderId="26" xfId="14" applyNumberFormat="1" applyFont="1" applyFill="1" applyBorder="1" applyAlignment="1">
      <alignment horizontal="right" vertical="center" shrinkToFit="1"/>
    </xf>
    <xf numFmtId="49" fontId="43" fillId="0" borderId="54" xfId="0" applyNumberFormat="1" applyFont="1" applyBorder="1" applyAlignment="1">
      <alignment horizontal="right"/>
    </xf>
    <xf numFmtId="9" fontId="43" fillId="0" borderId="74" xfId="15" applyFont="1" applyBorder="1" applyAlignment="1">
      <alignment horizontal="right" shrinkToFit="1"/>
    </xf>
    <xf numFmtId="9" fontId="43" fillId="0" borderId="62" xfId="15" applyFont="1" applyBorder="1" applyAlignment="1">
      <alignment horizontal="right" shrinkToFit="1"/>
    </xf>
    <xf numFmtId="9" fontId="44" fillId="18" borderId="100" xfId="15" applyFont="1" applyFill="1" applyBorder="1" applyAlignment="1">
      <alignment horizontal="right" shrinkToFit="1"/>
    </xf>
    <xf numFmtId="9" fontId="44" fillId="16" borderId="96" xfId="14" applyNumberFormat="1" applyFont="1" applyFill="1" applyBorder="1" applyAlignment="1">
      <alignment horizontal="right" vertical="center" shrinkToFit="1"/>
    </xf>
    <xf numFmtId="9" fontId="44" fillId="16" borderId="100" xfId="15" applyFont="1" applyFill="1" applyBorder="1" applyAlignment="1">
      <alignment horizontal="right" shrinkToFit="1"/>
    </xf>
    <xf numFmtId="9" fontId="44" fillId="4" borderId="40" xfId="15" applyFont="1" applyFill="1" applyBorder="1" applyAlignment="1">
      <alignment horizontal="right" vertical="center" shrinkToFit="1"/>
    </xf>
    <xf numFmtId="164" fontId="43" fillId="0" borderId="74" xfId="58" applyFont="1" applyBorder="1" applyAlignment="1">
      <alignment horizontal="right" shrinkToFit="1"/>
    </xf>
    <xf numFmtId="0" fontId="0" fillId="0" borderId="0" xfId="0"/>
    <xf numFmtId="0" fontId="12" fillId="0" borderId="6" xfId="0" applyFont="1" applyBorder="1" applyAlignment="1">
      <alignment horizontal="justify" vertical="top" wrapText="1"/>
    </xf>
    <xf numFmtId="0" fontId="33" fillId="0" borderId="0" xfId="14" applyFont="1" applyAlignment="1">
      <alignment horizontal="left" vertical="center" wrapText="1"/>
    </xf>
    <xf numFmtId="0" fontId="33" fillId="0" borderId="0" xfId="14" applyFont="1" applyAlignment="1">
      <alignment horizontal="left" vertical="center"/>
    </xf>
    <xf numFmtId="49" fontId="0" fillId="0" borderId="0" xfId="0" applyNumberFormat="1"/>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3" fontId="28" fillId="4" borderId="49" xfId="14" applyNumberFormat="1" applyFont="1" applyFill="1" applyBorder="1" applyAlignment="1">
      <alignment horizontal="left" vertical="center"/>
    </xf>
    <xf numFmtId="3" fontId="28" fillId="3" borderId="42" xfId="6" applyNumberFormat="1" applyFont="1" applyFill="1" applyBorder="1" applyAlignment="1">
      <alignment horizontal="right" vertical="center"/>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3" fillId="0" borderId="62" xfId="0" applyNumberFormat="1" applyFont="1" applyBorder="1" applyAlignment="1">
      <alignment horizontal="right" shrinkToFit="1"/>
    </xf>
    <xf numFmtId="2" fontId="43" fillId="0" borderId="16" xfId="0" applyNumberFormat="1" applyFont="1" applyBorder="1" applyAlignment="1">
      <alignment horizontal="right" shrinkToFit="1"/>
    </xf>
    <xf numFmtId="169" fontId="45" fillId="4" borderId="66" xfId="0" applyNumberFormat="1" applyFont="1" applyFill="1" applyBorder="1" applyAlignment="1">
      <alignment horizontal="right" shrinkToFit="1"/>
    </xf>
    <xf numFmtId="169" fontId="44" fillId="4" borderId="11" xfId="14" applyNumberFormat="1" applyFont="1" applyFill="1" applyBorder="1" applyAlignment="1">
      <alignment horizontal="right" vertical="center" shrinkToFit="1"/>
    </xf>
    <xf numFmtId="2" fontId="43" fillId="0" borderId="5" xfId="0" applyNumberFormat="1" applyFont="1" applyBorder="1" applyAlignment="1">
      <alignment horizontal="right" shrinkToFit="1"/>
    </xf>
    <xf numFmtId="0" fontId="48" fillId="0" borderId="0" xfId="0" applyFont="1" applyAlignment="1">
      <alignment horizontal="left"/>
    </xf>
    <xf numFmtId="0" fontId="49" fillId="2" borderId="41" xfId="0" applyFont="1" applyFill="1" applyBorder="1" applyAlignment="1">
      <alignment horizontal="center" vertical="center"/>
    </xf>
    <xf numFmtId="1" fontId="43" fillId="0" borderId="35"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169" fontId="44" fillId="4" borderId="10" xfId="14" applyNumberFormat="1" applyFont="1" applyFill="1" applyBorder="1" applyAlignment="1">
      <alignment horizontal="right" vertical="center" shrinkToFit="1"/>
    </xf>
    <xf numFmtId="0" fontId="30" fillId="0" borderId="56" xfId="0" applyFont="1" applyBorder="1" applyAlignment="1">
      <alignment horizontal="justify" vertical="top" wrapText="1"/>
    </xf>
    <xf numFmtId="9" fontId="0" fillId="0" borderId="5" xfId="15" applyFont="1" applyBorder="1" applyAlignment="1">
      <alignment horizontal="right"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 fontId="43" fillId="0" borderId="56" xfId="0" applyNumberFormat="1" applyFont="1" applyBorder="1" applyAlignment="1">
      <alignment horizontal="right" shrinkToFit="1"/>
    </xf>
    <xf numFmtId="2" fontId="48" fillId="0" borderId="0" xfId="0" applyNumberFormat="1" applyFont="1" applyAlignment="1">
      <alignment horizontal="left"/>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9" fontId="43" fillId="0" borderId="5" xfId="15" applyFont="1" applyBorder="1" applyAlignment="1">
      <alignment horizontal="right" shrinkToFit="1"/>
    </xf>
    <xf numFmtId="167" fontId="43" fillId="0" borderId="5" xfId="0" applyNumberFormat="1" applyFont="1" applyBorder="1" applyAlignment="1">
      <alignment horizontal="right"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0" fontId="33" fillId="0" borderId="0" xfId="0" applyFont="1"/>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1" fontId="43" fillId="0" borderId="19" xfId="0" applyNumberFormat="1" applyFont="1" applyBorder="1" applyAlignment="1">
      <alignment horizontal="right" shrinkToFit="1"/>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70" fillId="0" borderId="0" xfId="0" applyFont="1"/>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43" fillId="0" borderId="56" xfId="0" applyNumberFormat="1" applyFont="1" applyBorder="1" applyAlignment="1">
      <alignment horizontal="right"/>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33" fillId="0" borderId="62" xfId="0" applyNumberFormat="1" applyFont="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19" xfId="15" applyNumberFormat="1" applyFont="1" applyFill="1" applyBorder="1" applyAlignment="1">
      <alignment horizontal="right" shrinkToFit="1"/>
    </xf>
    <xf numFmtId="167"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1" fontId="45" fillId="4" borderId="32" xfId="14" applyNumberFormat="1" applyFont="1" applyFill="1" applyBorder="1" applyAlignment="1">
      <alignment horizontal="right" vertical="center" shrinkToFit="1"/>
    </xf>
    <xf numFmtId="1" fontId="43" fillId="0" borderId="0" xfId="0" applyNumberFormat="1" applyFont="1"/>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43" fillId="14" borderId="19" xfId="0" applyNumberFormat="1" applyFont="1" applyFill="1" applyBorder="1" applyAlignment="1">
      <alignment horizontal="right" shrinkToFit="1"/>
    </xf>
    <xf numFmtId="0" fontId="69" fillId="0" borderId="0" xfId="0" applyFont="1" applyAlignment="1">
      <alignment horizontal="left" vertical="center"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3" fontId="28" fillId="16" borderId="49"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67" fontId="44" fillId="16" borderId="59" xfId="15"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7" fontId="44" fillId="16" borderId="89" xfId="15"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43" fillId="0" borderId="35" xfId="0" applyNumberFormat="1" applyFont="1" applyBorder="1" applyAlignment="1">
      <alignment horizontal="right" shrinkToFit="1"/>
    </xf>
    <xf numFmtId="0" fontId="7" fillId="0" borderId="0" xfId="0" applyFont="1"/>
    <xf numFmtId="0" fontId="80" fillId="0" borderId="0" xfId="0" applyFont="1" applyAlignment="1">
      <alignment horizontal="left" vertical="center"/>
    </xf>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9" fontId="28" fillId="18" borderId="59" xfId="6" applyNumberFormat="1" applyFont="1" applyFill="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7" fillId="0" borderId="0" xfId="0" applyNumberFormat="1" applyFont="1"/>
    <xf numFmtId="14" fontId="0" fillId="0" borderId="0" xfId="0" applyNumberFormat="1"/>
    <xf numFmtId="14" fontId="43" fillId="0" borderId="16"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9" fontId="43" fillId="0" borderId="19" xfId="15" applyFont="1" applyBorder="1" applyAlignment="1">
      <alignment horizontal="right" shrinkToFit="1"/>
    </xf>
    <xf numFmtId="9" fontId="44" fillId="16" borderId="59" xfId="15" applyFont="1" applyFill="1" applyBorder="1" applyAlignment="1">
      <alignment horizontal="right" shrinkToFit="1"/>
    </xf>
    <xf numFmtId="9" fontId="45" fillId="4" borderId="10" xfId="15" applyFont="1" applyFill="1" applyBorder="1" applyAlignment="1">
      <alignment horizontal="right" vertical="center" shrinkToFit="1"/>
    </xf>
    <xf numFmtId="9" fontId="43" fillId="0" borderId="0" xfId="15" applyFont="1"/>
    <xf numFmtId="9" fontId="43" fillId="0" borderId="17" xfId="15" applyFont="1" applyBorder="1" applyAlignment="1">
      <alignment horizontal="right" shrinkToFit="1"/>
    </xf>
    <xf numFmtId="9" fontId="43" fillId="0" borderId="16" xfId="15" applyFont="1" applyBorder="1" applyAlignment="1">
      <alignment horizontal="right" shrinkToFit="1"/>
    </xf>
    <xf numFmtId="9" fontId="44" fillId="16" borderId="59" xfId="15" applyFont="1" applyFill="1" applyBorder="1" applyAlignment="1">
      <alignment horizontal="right" vertical="center" shrinkToFit="1"/>
    </xf>
    <xf numFmtId="9" fontId="44" fillId="16" borderId="89" xfId="15" applyFont="1" applyFill="1" applyBorder="1" applyAlignment="1">
      <alignment horizontal="right" vertical="center" shrinkToFit="1"/>
    </xf>
    <xf numFmtId="0" fontId="89" fillId="2" borderId="5" xfId="0" applyFont="1" applyFill="1" applyBorder="1" applyAlignment="1">
      <alignment horizontal="center" vertical="center" wrapText="1"/>
    </xf>
    <xf numFmtId="0" fontId="0" fillId="0" borderId="0" xfId="0"/>
    <xf numFmtId="0" fontId="53" fillId="0" borderId="25" xfId="0" applyFont="1" applyBorder="1"/>
    <xf numFmtId="0" fontId="52" fillId="0" borderId="0" xfId="0" applyFont="1"/>
    <xf numFmtId="0" fontId="49" fillId="0" borderId="0" xfId="0" applyFont="1" applyAlignment="1">
      <alignment horizontal="left" vertical="center" wrapText="1"/>
    </xf>
    <xf numFmtId="0" fontId="90" fillId="0" borderId="5" xfId="0" applyFont="1" applyBorder="1" applyAlignment="1">
      <alignment wrapText="1"/>
    </xf>
    <xf numFmtId="0" fontId="0" fillId="0" borderId="5" xfId="0" applyBorder="1"/>
    <xf numFmtId="0" fontId="52" fillId="0" borderId="0" xfId="0" applyFont="1" applyBorder="1"/>
    <xf numFmtId="0" fontId="52" fillId="0" borderId="62" xfId="0" applyFont="1" applyBorder="1"/>
    <xf numFmtId="0" fontId="56" fillId="0" borderId="0" xfId="0" applyFont="1" applyBorder="1"/>
    <xf numFmtId="0" fontId="19" fillId="0" borderId="0" xfId="0" applyFont="1"/>
    <xf numFmtId="0" fontId="56" fillId="0" borderId="0" xfId="0" applyFont="1" applyBorder="1" applyAlignment="1">
      <alignment horizontal="right"/>
    </xf>
    <xf numFmtId="0" fontId="52" fillId="0" borderId="0" xfId="0" applyFont="1" applyBorder="1" applyAlignment="1">
      <alignment horizontal="center"/>
    </xf>
    <xf numFmtId="0" fontId="56" fillId="0" borderId="62" xfId="0" applyFont="1" applyBorder="1"/>
    <xf numFmtId="0" fontId="19" fillId="0" borderId="0" xfId="0" applyNumberFormat="1" applyFont="1" applyBorder="1"/>
    <xf numFmtId="0" fontId="51" fillId="16" borderId="25" xfId="0" applyFont="1" applyFill="1" applyBorder="1" applyAlignment="1">
      <alignment horizontal="center"/>
    </xf>
    <xf numFmtId="0" fontId="51" fillId="16" borderId="26" xfId="0" applyFont="1" applyFill="1" applyBorder="1" applyAlignment="1">
      <alignment horizontal="center"/>
    </xf>
    <xf numFmtId="0" fontId="51" fillId="16" borderId="1" xfId="0" applyFont="1" applyFill="1" applyBorder="1" applyAlignment="1">
      <alignment horizontal="center"/>
    </xf>
    <xf numFmtId="0" fontId="61" fillId="16" borderId="112" xfId="0" applyFont="1" applyFill="1" applyBorder="1" applyAlignment="1">
      <alignment horizontal="center" vertical="center" wrapText="1"/>
    </xf>
    <xf numFmtId="0" fontId="61" fillId="16" borderId="85" xfId="0" applyFont="1" applyFill="1" applyBorder="1" applyAlignment="1">
      <alignment horizontal="center" vertical="center" wrapText="1"/>
    </xf>
    <xf numFmtId="0" fontId="61" fillId="16" borderId="113" xfId="0" applyFont="1" applyFill="1" applyBorder="1" applyAlignment="1">
      <alignment horizontal="center" vertical="center" wrapText="1"/>
    </xf>
    <xf numFmtId="0" fontId="61" fillId="16" borderId="94" xfId="0" applyFont="1" applyFill="1" applyBorder="1" applyAlignment="1">
      <alignment horizontal="center" vertical="center" wrapText="1"/>
    </xf>
    <xf numFmtId="0" fontId="61" fillId="16" borderId="86" xfId="0" applyFont="1" applyFill="1" applyBorder="1" applyAlignment="1">
      <alignment horizontal="center" vertical="center" wrapText="1"/>
    </xf>
    <xf numFmtId="0" fontId="61" fillId="16" borderId="96" xfId="0" applyFont="1" applyFill="1" applyBorder="1" applyAlignment="1">
      <alignment horizontal="center" vertical="center" wrapText="1"/>
    </xf>
    <xf numFmtId="0" fontId="52" fillId="0" borderId="0" xfId="14" applyFont="1" applyAlignment="1">
      <alignment horizontal="left" vertical="center" wrapText="1"/>
    </xf>
    <xf numFmtId="0" fontId="59" fillId="16" borderId="68" xfId="0" applyFont="1" applyFill="1" applyBorder="1" applyAlignment="1">
      <alignment horizontal="left" vertical="center"/>
    </xf>
    <xf numFmtId="0" fontId="59" fillId="16" borderId="6" xfId="0" applyFont="1" applyFill="1" applyBorder="1" applyAlignment="1">
      <alignment horizontal="left" vertical="center"/>
    </xf>
    <xf numFmtId="0" fontId="60" fillId="16" borderId="25" xfId="0" applyFont="1" applyFill="1" applyBorder="1" applyAlignment="1">
      <alignment horizontal="center" vertical="center" wrapText="1"/>
    </xf>
    <xf numFmtId="0" fontId="60" fillId="16" borderId="1" xfId="0" applyFont="1" applyFill="1" applyBorder="1" applyAlignment="1">
      <alignment horizontal="center" vertical="center" wrapText="1"/>
    </xf>
    <xf numFmtId="0" fontId="60" fillId="16" borderId="114" xfId="0" applyFont="1" applyFill="1" applyBorder="1" applyAlignment="1">
      <alignment horizontal="center" vertical="center" wrapText="1"/>
    </xf>
    <xf numFmtId="0" fontId="60" fillId="16" borderId="105" xfId="0" applyFont="1" applyFill="1" applyBorder="1" applyAlignment="1">
      <alignment horizontal="center" vertical="center" wrapText="1"/>
    </xf>
    <xf numFmtId="0" fontId="60" fillId="16" borderId="68" xfId="0" applyFont="1" applyFill="1" applyBorder="1" applyAlignment="1">
      <alignment horizontal="center" vertical="center" wrapText="1"/>
    </xf>
    <xf numFmtId="0" fontId="60" fillId="16" borderId="116" xfId="0" applyFont="1" applyFill="1" applyBorder="1" applyAlignment="1">
      <alignment horizontal="center" vertical="center" wrapText="1"/>
    </xf>
    <xf numFmtId="0" fontId="60" fillId="16" borderId="91" xfId="0" applyFont="1" applyFill="1" applyBorder="1" applyAlignment="1">
      <alignment horizontal="center" vertical="center" wrapText="1"/>
    </xf>
    <xf numFmtId="0" fontId="61" fillId="16" borderId="93" xfId="0" applyFont="1" applyFill="1" applyBorder="1" applyAlignment="1">
      <alignment horizontal="center" vertical="center" wrapText="1"/>
    </xf>
    <xf numFmtId="0" fontId="61" fillId="16" borderId="84" xfId="0" applyFont="1" applyFill="1" applyBorder="1" applyAlignment="1">
      <alignment horizontal="center" vertical="center" wrapText="1"/>
    </xf>
    <xf numFmtId="0" fontId="61" fillId="16" borderId="95" xfId="0" applyFont="1" applyFill="1" applyBorder="1" applyAlignment="1">
      <alignment horizontal="center" vertical="center" wrapText="1"/>
    </xf>
    <xf numFmtId="0" fontId="59" fillId="2" borderId="68" xfId="0" applyFont="1" applyFill="1" applyBorder="1" applyAlignment="1">
      <alignment horizontal="left" vertical="center"/>
    </xf>
    <xf numFmtId="0" fontId="59" fillId="2" borderId="6" xfId="0" applyFont="1" applyFill="1" applyBorder="1" applyAlignment="1">
      <alignment horizontal="left" vertical="center"/>
    </xf>
    <xf numFmtId="0" fontId="60" fillId="16" borderId="26" xfId="0" applyFont="1" applyFill="1" applyBorder="1" applyAlignment="1">
      <alignment horizontal="center" vertical="center" wrapText="1"/>
    </xf>
    <xf numFmtId="0" fontId="52" fillId="16" borderId="1" xfId="0" applyFont="1" applyFill="1" applyBorder="1" applyAlignment="1">
      <alignment horizontal="center" vertical="center" wrapText="1"/>
    </xf>
    <xf numFmtId="0" fontId="60" fillId="16" borderId="89" xfId="0" applyFont="1" applyFill="1" applyBorder="1" applyAlignment="1">
      <alignment horizontal="center" vertical="center" wrapText="1"/>
    </xf>
    <xf numFmtId="0" fontId="52" fillId="16" borderId="105" xfId="0" applyFont="1" applyFill="1" applyBorder="1" applyAlignment="1">
      <alignment horizontal="center" vertical="center" wrapText="1"/>
    </xf>
    <xf numFmtId="0" fontId="60" fillId="16" borderId="61" xfId="0" applyFont="1" applyFill="1" applyBorder="1" applyAlignment="1">
      <alignment horizontal="center" vertical="center" wrapText="1"/>
    </xf>
    <xf numFmtId="0" fontId="52" fillId="16" borderId="57" xfId="0" applyFont="1" applyFill="1" applyBorder="1" applyAlignment="1">
      <alignment horizontal="center" vertical="center" wrapText="1"/>
    </xf>
    <xf numFmtId="0" fontId="52" fillId="16" borderId="26" xfId="0" applyFont="1" applyFill="1" applyBorder="1" applyAlignment="1">
      <alignment horizontal="center" vertical="center" wrapText="1"/>
    </xf>
    <xf numFmtId="0" fontId="60" fillId="16" borderId="27" xfId="0" applyFont="1" applyFill="1" applyBorder="1" applyAlignment="1">
      <alignment horizontal="center" vertical="center" wrapText="1"/>
    </xf>
    <xf numFmtId="0" fontId="52" fillId="16" borderId="0" xfId="0" applyFont="1" applyFill="1" applyAlignment="1">
      <alignment horizontal="center" vertical="center" wrapText="1"/>
    </xf>
    <xf numFmtId="0" fontId="52" fillId="16" borderId="2" xfId="0" applyFont="1" applyFill="1" applyBorder="1" applyAlignment="1">
      <alignment horizontal="center" vertical="center" wrapText="1"/>
    </xf>
    <xf numFmtId="0" fontId="60" fillId="16" borderId="93" xfId="0" applyFont="1" applyFill="1" applyBorder="1" applyAlignment="1">
      <alignment horizontal="center" vertical="center" wrapText="1"/>
    </xf>
    <xf numFmtId="0" fontId="60" fillId="16" borderId="38" xfId="0" applyFont="1" applyFill="1" applyBorder="1" applyAlignment="1">
      <alignment horizontal="center" vertical="center" wrapText="1"/>
    </xf>
    <xf numFmtId="0" fontId="61" fillId="16" borderId="68" xfId="0" applyFont="1" applyFill="1" applyBorder="1" applyAlignment="1">
      <alignment horizontal="center" vertical="center" wrapText="1"/>
    </xf>
    <xf numFmtId="0" fontId="61" fillId="16" borderId="7" xfId="0" applyFont="1" applyFill="1" applyBorder="1" applyAlignment="1">
      <alignment horizontal="center" vertical="center" wrapText="1"/>
    </xf>
    <xf numFmtId="0" fontId="61" fillId="16" borderId="69" xfId="0" applyFont="1" applyFill="1" applyBorder="1" applyAlignment="1">
      <alignment horizontal="center" vertical="center" wrapText="1"/>
    </xf>
    <xf numFmtId="0" fontId="52" fillId="0" borderId="0" xfId="0" applyFont="1" applyAlignment="1">
      <alignment horizontal="left"/>
    </xf>
    <xf numFmtId="0" fontId="55" fillId="0" borderId="0" xfId="14" applyFont="1" applyAlignment="1">
      <alignment horizontal="left" vertical="center" wrapText="1"/>
    </xf>
    <xf numFmtId="0" fontId="61" fillId="16" borderId="1" xfId="0" applyFont="1" applyFill="1" applyBorder="1" applyAlignment="1">
      <alignment horizontal="center" vertical="center" wrapText="1"/>
    </xf>
    <xf numFmtId="0" fontId="61" fillId="16" borderId="2" xfId="0" applyFont="1" applyFill="1" applyBorder="1" applyAlignment="1">
      <alignment horizontal="center" vertical="center" wrapText="1"/>
    </xf>
    <xf numFmtId="0" fontId="61" fillId="16" borderId="4" xfId="0" applyFont="1" applyFill="1" applyBorder="1" applyAlignment="1">
      <alignment horizontal="center" vertical="center" wrapText="1"/>
    </xf>
    <xf numFmtId="0" fontId="61" fillId="16" borderId="116" xfId="0" applyFont="1" applyFill="1" applyBorder="1" applyAlignment="1">
      <alignment horizontal="center" vertical="center" wrapText="1"/>
    </xf>
    <xf numFmtId="0" fontId="61" fillId="16" borderId="63" xfId="0" applyFont="1" applyFill="1" applyBorder="1" applyAlignment="1">
      <alignment horizontal="center" vertical="center" wrapText="1"/>
    </xf>
    <xf numFmtId="0" fontId="61" fillId="16" borderId="117" xfId="0" applyFont="1" applyFill="1" applyBorder="1" applyAlignment="1">
      <alignment horizontal="center" vertical="center" wrapText="1"/>
    </xf>
    <xf numFmtId="0" fontId="60" fillId="16" borderId="84" xfId="0" applyFont="1" applyFill="1" applyBorder="1" applyAlignment="1">
      <alignment horizontal="center" vertical="center" wrapText="1"/>
    </xf>
    <xf numFmtId="0" fontId="60" fillId="16" borderId="95" xfId="0" applyFont="1" applyFill="1" applyBorder="1" applyAlignment="1">
      <alignment horizontal="center" vertical="center" wrapText="1"/>
    </xf>
    <xf numFmtId="0" fontId="60" fillId="16" borderId="112" xfId="0" applyFont="1" applyFill="1" applyBorder="1" applyAlignment="1">
      <alignment horizontal="center" vertical="center" wrapText="1"/>
    </xf>
    <xf numFmtId="0" fontId="60" fillId="16" borderId="85" xfId="0" applyFont="1" applyFill="1" applyBorder="1" applyAlignment="1">
      <alignment horizontal="center" vertical="center" wrapText="1"/>
    </xf>
    <xf numFmtId="0" fontId="60" fillId="16" borderId="113" xfId="0" applyFont="1" applyFill="1" applyBorder="1" applyAlignment="1">
      <alignment horizontal="center" vertical="center" wrapText="1"/>
    </xf>
    <xf numFmtId="0" fontId="60" fillId="16" borderId="94" xfId="0" applyFont="1" applyFill="1" applyBorder="1" applyAlignment="1">
      <alignment horizontal="center" vertical="center" wrapText="1"/>
    </xf>
    <xf numFmtId="0" fontId="60" fillId="16" borderId="86" xfId="0" applyFont="1" applyFill="1" applyBorder="1" applyAlignment="1">
      <alignment horizontal="center" vertical="center" wrapText="1"/>
    </xf>
    <xf numFmtId="0" fontId="60" fillId="16" borderId="96" xfId="0" applyFont="1" applyFill="1" applyBorder="1" applyAlignment="1">
      <alignment horizontal="center" vertical="center" wrapText="1"/>
    </xf>
    <xf numFmtId="0" fontId="60" fillId="16" borderId="7" xfId="0" applyFont="1" applyFill="1" applyBorder="1" applyAlignment="1">
      <alignment horizontal="center" vertical="center" wrapText="1"/>
    </xf>
    <xf numFmtId="0" fontId="60" fillId="16" borderId="69" xfId="0" applyFont="1" applyFill="1" applyBorder="1" applyAlignment="1">
      <alignment horizontal="center" vertical="center" wrapText="1"/>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98"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92" xfId="0" applyFont="1" applyFill="1" applyBorder="1" applyAlignment="1">
      <alignment horizontal="center" vertical="center" wrapText="1"/>
    </xf>
    <xf numFmtId="0" fontId="30" fillId="24" borderId="116" xfId="0" applyFont="1" applyFill="1" applyBorder="1" applyAlignment="1">
      <alignment horizontal="center" vertical="center" wrapText="1"/>
    </xf>
    <xf numFmtId="0" fontId="30" fillId="24" borderId="63" xfId="0" applyFont="1" applyFill="1" applyBorder="1" applyAlignment="1">
      <alignment horizontal="center" vertical="center" wrapText="1"/>
    </xf>
    <xf numFmtId="0" fontId="30" fillId="24" borderId="91" xfId="0" applyFont="1" applyFill="1" applyBorder="1" applyAlignment="1">
      <alignment horizontal="center" vertical="center" wrapText="1"/>
    </xf>
    <xf numFmtId="0" fontId="30" fillId="24" borderId="112" xfId="0" applyFont="1" applyFill="1" applyBorder="1" applyAlignment="1">
      <alignment horizontal="center" vertical="center" wrapText="1"/>
    </xf>
    <xf numFmtId="0" fontId="30" fillId="24" borderId="85" xfId="0" applyFont="1" applyFill="1" applyBorder="1" applyAlignment="1">
      <alignment horizontal="center" vertical="center" wrapText="1"/>
    </xf>
    <xf numFmtId="0" fontId="30" fillId="24" borderId="92"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88" xfId="0" applyFont="1" applyFill="1" applyBorder="1" applyAlignment="1">
      <alignment horizontal="center" vertical="center" wrapTex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0" fontId="49" fillId="2" borderId="68" xfId="0" applyFont="1" applyFill="1" applyBorder="1" applyAlignment="1">
      <alignment horizontal="center" vertical="center"/>
    </xf>
    <xf numFmtId="0" fontId="49" fillId="2" borderId="6" xfId="0" applyFont="1" applyFill="1" applyBorder="1" applyAlignment="1">
      <alignment horizontal="center" vertical="center"/>
    </xf>
    <xf numFmtId="0" fontId="9" fillId="11" borderId="93" xfId="0" applyFont="1" applyFill="1" applyBorder="1" applyAlignment="1">
      <alignment horizontal="center" vertical="center" wrapText="1"/>
    </xf>
    <xf numFmtId="0" fontId="9" fillId="11" borderId="84" xfId="0" applyFont="1" applyFill="1" applyBorder="1" applyAlignment="1">
      <alignment horizontal="center" vertical="center" wrapText="1"/>
    </xf>
    <xf numFmtId="0" fontId="9" fillId="11" borderId="87"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85" xfId="0" applyFont="1" applyFill="1" applyBorder="1" applyAlignment="1">
      <alignment horizontal="center" vertical="center" wrapText="1"/>
    </xf>
    <xf numFmtId="0" fontId="30" fillId="4" borderId="92" xfId="0" applyFont="1" applyFill="1" applyBorder="1" applyAlignment="1">
      <alignment horizontal="center" vertical="center" wrapText="1"/>
    </xf>
    <xf numFmtId="0" fontId="34" fillId="16" borderId="1" xfId="0" applyFont="1" applyFill="1" applyBorder="1" applyAlignment="1">
      <alignment horizontal="center" vertical="center" wrapText="1"/>
    </xf>
    <xf numFmtId="0" fontId="34" fillId="16" borderId="2" xfId="0" applyFont="1" applyFill="1" applyBorder="1" applyAlignment="1">
      <alignment horizontal="center" vertical="center" wrapText="1"/>
    </xf>
    <xf numFmtId="0" fontId="34" fillId="16" borderId="105" xfId="0" applyFont="1" applyFill="1" applyBorder="1" applyAlignment="1">
      <alignment horizontal="center" vertical="center" wrapText="1"/>
    </xf>
    <xf numFmtId="0" fontId="30" fillId="16" borderId="94" xfId="0" applyFont="1" applyFill="1" applyBorder="1" applyAlignment="1">
      <alignment horizontal="center" vertical="center" wrapText="1"/>
    </xf>
    <xf numFmtId="0" fontId="30" fillId="16" borderId="86" xfId="0" applyFont="1" applyFill="1" applyBorder="1" applyAlignment="1">
      <alignment horizontal="center" vertical="center" wrapText="1"/>
    </xf>
    <xf numFmtId="0" fontId="30" fillId="16" borderId="97" xfId="0" applyFont="1" applyFill="1" applyBorder="1" applyAlignment="1">
      <alignment horizontal="center" vertical="center" wrapText="1"/>
    </xf>
    <xf numFmtId="0" fontId="30" fillId="10" borderId="93" xfId="0" applyFont="1" applyFill="1" applyBorder="1" applyAlignment="1">
      <alignment horizontal="center" vertical="center" wrapText="1"/>
    </xf>
    <xf numFmtId="0" fontId="30" fillId="10" borderId="84" xfId="0" applyFont="1" applyFill="1" applyBorder="1" applyAlignment="1">
      <alignment horizontal="center" vertical="center" wrapText="1"/>
    </xf>
    <xf numFmtId="0" fontId="30" fillId="10" borderId="87"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91" xfId="0" applyFont="1" applyFill="1" applyBorder="1" applyAlignment="1">
      <alignment horizontal="center" vertical="center" wrapText="1"/>
    </xf>
    <xf numFmtId="0" fontId="34" fillId="16" borderId="93" xfId="0" applyFont="1" applyFill="1" applyBorder="1" applyAlignment="1">
      <alignment horizontal="center" vertical="center" wrapText="1"/>
    </xf>
    <xf numFmtId="0" fontId="34" fillId="16" borderId="84" xfId="0" applyFont="1" applyFill="1" applyBorder="1" applyAlignment="1">
      <alignment horizontal="center" vertical="center" wrapText="1"/>
    </xf>
    <xf numFmtId="0" fontId="34" fillId="16" borderId="87" xfId="0" applyFont="1" applyFill="1" applyBorder="1" applyAlignment="1">
      <alignment horizontal="center" vertical="center" wrapText="1"/>
    </xf>
    <xf numFmtId="0" fontId="30" fillId="10" borderId="94" xfId="0" applyFont="1" applyFill="1" applyBorder="1" applyAlignment="1">
      <alignment horizontal="center" vertical="center" wrapText="1"/>
    </xf>
    <xf numFmtId="0" fontId="30" fillId="10" borderId="86" xfId="0" applyFont="1" applyFill="1" applyBorder="1" applyAlignment="1">
      <alignment horizontal="center" vertical="center" wrapText="1"/>
    </xf>
    <xf numFmtId="0" fontId="30" fillId="10" borderId="97" xfId="0" applyFont="1" applyFill="1" applyBorder="1" applyAlignment="1">
      <alignment horizontal="center" vertical="center" wrapText="1"/>
    </xf>
    <xf numFmtId="0" fontId="30" fillId="24" borderId="115" xfId="0" applyFont="1" applyFill="1" applyBorder="1" applyAlignment="1">
      <alignment horizontal="center" vertical="center" wrapText="1"/>
    </xf>
    <xf numFmtId="0" fontId="30" fillId="24" borderId="90" xfId="0" applyFont="1" applyFill="1" applyBorder="1" applyAlignment="1">
      <alignment horizontal="center" vertical="center" wrapText="1"/>
    </xf>
    <xf numFmtId="0" fontId="30" fillId="24" borderId="88" xfId="0" applyFont="1" applyFill="1" applyBorder="1" applyAlignment="1">
      <alignment horizontal="center" vertical="center" wrapText="1"/>
    </xf>
    <xf numFmtId="0" fontId="30" fillId="10" borderId="115" xfId="0" applyFont="1" applyFill="1" applyBorder="1" applyAlignment="1">
      <alignment horizontal="center" vertical="center" wrapText="1"/>
    </xf>
    <xf numFmtId="0" fontId="30" fillId="10" borderId="90" xfId="0" applyFont="1" applyFill="1" applyBorder="1" applyAlignment="1">
      <alignment horizontal="center" vertical="center" wrapText="1"/>
    </xf>
    <xf numFmtId="0" fontId="30" fillId="10" borderId="88" xfId="0" applyFont="1" applyFill="1" applyBorder="1" applyAlignment="1">
      <alignment horizontal="center" vertical="center" wrapText="1"/>
    </xf>
    <xf numFmtId="0" fontId="30" fillId="10" borderId="112" xfId="0" applyFont="1" applyFill="1" applyBorder="1" applyAlignment="1">
      <alignment horizontal="center" vertical="center" wrapText="1"/>
    </xf>
    <xf numFmtId="0" fontId="30" fillId="10" borderId="85" xfId="0" applyFont="1" applyFill="1" applyBorder="1" applyAlignment="1">
      <alignment horizontal="center" vertical="center" wrapText="1"/>
    </xf>
    <xf numFmtId="0" fontId="30" fillId="10" borderId="92" xfId="0" applyFont="1" applyFill="1" applyBorder="1" applyAlignment="1">
      <alignment horizontal="center" vertical="center" wrapText="1"/>
    </xf>
    <xf numFmtId="0" fontId="10" fillId="8" borderId="7" xfId="0" applyFont="1" applyFill="1" applyBorder="1" applyAlignment="1" applyProtection="1">
      <alignment horizontal="center" vertical="center" textRotation="180" wrapText="1"/>
      <protection locked="0"/>
    </xf>
    <xf numFmtId="0" fontId="10" fillId="8" borderId="69" xfId="0" applyFont="1" applyFill="1" applyBorder="1" applyAlignment="1" applyProtection="1">
      <alignment horizontal="center" vertical="center" textRotation="180" wrapText="1"/>
      <protection locked="0"/>
    </xf>
    <xf numFmtId="0" fontId="10" fillId="8" borderId="44" xfId="0" applyFont="1" applyFill="1" applyBorder="1" applyAlignment="1" applyProtection="1">
      <alignment horizontal="center" vertical="center" wrapText="1"/>
      <protection locked="0"/>
    </xf>
    <xf numFmtId="0" fontId="10" fillId="8" borderId="50" xfId="0" applyFont="1" applyFill="1" applyBorder="1" applyAlignment="1" applyProtection="1">
      <alignment horizontal="center" vertical="center" wrapText="1"/>
      <protection locked="0"/>
    </xf>
    <xf numFmtId="0" fontId="30" fillId="16" borderId="118" xfId="0" applyFont="1" applyFill="1" applyBorder="1" applyAlignment="1">
      <alignment horizontal="center" vertical="center" wrapText="1"/>
    </xf>
    <xf numFmtId="0" fontId="30" fillId="16" borderId="96" xfId="0" applyFont="1" applyFill="1" applyBorder="1" applyAlignment="1">
      <alignment horizontal="center" vertical="center" wrapText="1"/>
    </xf>
    <xf numFmtId="0" fontId="0" fillId="0" borderId="0" xfId="0" applyAlignment="1">
      <alignment horizontal="left"/>
    </xf>
    <xf numFmtId="0" fontId="34" fillId="16" borderId="68" xfId="0" applyFont="1" applyFill="1" applyBorder="1" applyAlignment="1">
      <alignment horizontal="center" vertical="center" wrapText="1"/>
    </xf>
    <xf numFmtId="0" fontId="34" fillId="16" borderId="7" xfId="0" applyFont="1" applyFill="1" applyBorder="1" applyAlignment="1">
      <alignment horizontal="center" vertical="center" wrapText="1"/>
    </xf>
    <xf numFmtId="0" fontId="34" fillId="16" borderId="69" xfId="0" applyFont="1" applyFill="1" applyBorder="1" applyAlignment="1">
      <alignment horizontal="center" vertical="center" wrapText="1"/>
    </xf>
    <xf numFmtId="0" fontId="34" fillId="16" borderId="115" xfId="0" applyFont="1" applyFill="1" applyBorder="1" applyAlignment="1">
      <alignment horizontal="center" vertical="center" wrapText="1"/>
    </xf>
    <xf numFmtId="0" fontId="34" fillId="16" borderId="90" xfId="0" applyFont="1" applyFill="1" applyBorder="1" applyAlignment="1">
      <alignment horizontal="center" vertical="center" wrapText="1"/>
    </xf>
    <xf numFmtId="0" fontId="34" fillId="16" borderId="118" xfId="0" applyFont="1" applyFill="1" applyBorder="1" applyAlignment="1">
      <alignment horizontal="center" vertical="center" wrapText="1"/>
    </xf>
    <xf numFmtId="0" fontId="34" fillId="16" borderId="112" xfId="0" applyFont="1" applyFill="1" applyBorder="1" applyAlignment="1">
      <alignment horizontal="center" vertical="center" wrapText="1"/>
    </xf>
    <xf numFmtId="0" fontId="34" fillId="16" borderId="85" xfId="0" applyFont="1" applyFill="1" applyBorder="1" applyAlignment="1">
      <alignment horizontal="center" vertical="center" wrapText="1"/>
    </xf>
    <xf numFmtId="0" fontId="34" fillId="16" borderId="113" xfId="0" applyFont="1" applyFill="1" applyBorder="1" applyAlignment="1">
      <alignment horizontal="center" vertical="center" wrapText="1"/>
    </xf>
    <xf numFmtId="0" fontId="34" fillId="16" borderId="116" xfId="0" applyFont="1" applyFill="1" applyBorder="1" applyAlignment="1">
      <alignment horizontal="center" vertical="center" wrapText="1"/>
    </xf>
    <xf numFmtId="0" fontId="34" fillId="16" borderId="63" xfId="0" applyFont="1" applyFill="1" applyBorder="1" applyAlignment="1">
      <alignment horizontal="center" vertical="center" wrapText="1"/>
    </xf>
    <xf numFmtId="0" fontId="34" fillId="16" borderId="117" xfId="0" applyFont="1" applyFill="1" applyBorder="1" applyAlignment="1">
      <alignment horizontal="center" vertical="center" wrapText="1"/>
    </xf>
    <xf numFmtId="0" fontId="34" fillId="16" borderId="95" xfId="0" applyFont="1" applyFill="1" applyBorder="1" applyAlignment="1">
      <alignment horizontal="center" vertical="center" wrapText="1"/>
    </xf>
    <xf numFmtId="0" fontId="30"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3" fillId="11" borderId="25" xfId="0" applyFont="1" applyFill="1" applyBorder="1" applyAlignment="1">
      <alignment horizontal="center" vertical="center" wrapText="1"/>
    </xf>
    <xf numFmtId="0" fontId="23" fillId="11" borderId="27" xfId="0" applyFont="1" applyFill="1" applyBorder="1" applyAlignment="1">
      <alignment horizontal="center" vertical="center" wrapText="1"/>
    </xf>
    <xf numFmtId="0" fontId="28" fillId="4" borderId="112"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115" xfId="0" applyFont="1" applyFill="1" applyBorder="1" applyAlignment="1">
      <alignment horizontal="center" vertical="center" wrapText="1"/>
    </xf>
    <xf numFmtId="0" fontId="28" fillId="4" borderId="90"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2" borderId="68" xfId="0" applyFont="1" applyFill="1" applyBorder="1" applyAlignment="1">
      <alignment horizontal="center" vertical="center" wrapText="1"/>
    </xf>
    <xf numFmtId="0" fontId="23" fillId="0" borderId="7" xfId="0" applyFont="1" applyBorder="1" applyAlignment="1">
      <alignment horizontal="center" vertical="center"/>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45" fillId="0" borderId="72" xfId="0" applyFont="1" applyBorder="1" applyAlignment="1">
      <alignment horizontal="center" vertical="top" wrapText="1"/>
    </xf>
    <xf numFmtId="0" fontId="45" fillId="0" borderId="51" xfId="0" applyFont="1" applyBorder="1" applyAlignment="1">
      <alignment horizontal="center" vertical="top" wrapText="1"/>
    </xf>
    <xf numFmtId="0" fontId="23" fillId="0" borderId="25" xfId="0" applyFont="1" applyBorder="1" applyAlignment="1">
      <alignment horizontal="center"/>
    </xf>
    <xf numFmtId="0" fontId="23" fillId="0" borderId="1" xfId="0" applyFont="1" applyBorder="1" applyAlignment="1">
      <alignment horizontal="center"/>
    </xf>
    <xf numFmtId="0" fontId="23" fillId="0" borderId="28" xfId="0" applyFont="1" applyBorder="1" applyAlignment="1">
      <alignment horizontal="center"/>
    </xf>
    <xf numFmtId="0" fontId="23" fillId="0" borderId="4" xfId="0" applyFont="1" applyBorder="1" applyAlignment="1">
      <alignment horizontal="center"/>
    </xf>
    <xf numFmtId="0" fontId="83" fillId="0" borderId="25" xfId="0" applyFont="1" applyBorder="1" applyAlignment="1">
      <alignment horizontal="center" vertical="center"/>
    </xf>
    <xf numFmtId="0" fontId="83" fillId="0" borderId="26" xfId="0" applyFont="1" applyBorder="1" applyAlignment="1">
      <alignment horizontal="center" vertical="center"/>
    </xf>
    <xf numFmtId="0" fontId="83" fillId="0" borderId="1" xfId="0" applyFont="1" applyBorder="1" applyAlignment="1">
      <alignment horizontal="center" vertical="center"/>
    </xf>
    <xf numFmtId="0" fontId="83" fillId="0" borderId="28" xfId="0" applyFont="1" applyBorder="1" applyAlignment="1">
      <alignment horizontal="center" vertical="center"/>
    </xf>
    <xf numFmtId="0" fontId="83" fillId="0" borderId="3" xfId="0" applyFont="1" applyBorder="1" applyAlignment="1">
      <alignment horizontal="center" vertical="center"/>
    </xf>
    <xf numFmtId="0" fontId="83" fillId="0" borderId="4" xfId="0" applyFont="1" applyBorder="1" applyAlignment="1">
      <alignment horizontal="center" vertical="center"/>
    </xf>
    <xf numFmtId="0" fontId="79" fillId="10" borderId="22" xfId="0" applyFont="1" applyFill="1" applyBorder="1" applyAlignment="1">
      <alignment horizontal="center"/>
    </xf>
    <xf numFmtId="0" fontId="79" fillId="10" borderId="23" xfId="0" applyFont="1" applyFill="1" applyBorder="1" applyAlignment="1">
      <alignment horizontal="center"/>
    </xf>
    <xf numFmtId="0" fontId="79" fillId="10" borderId="24" xfId="0" applyFont="1" applyFill="1" applyBorder="1" applyAlignment="1">
      <alignment horizontal="center"/>
    </xf>
    <xf numFmtId="0" fontId="28" fillId="4" borderId="94" xfId="0" applyFont="1" applyFill="1" applyBorder="1" applyAlignment="1">
      <alignment horizontal="center" vertical="center" wrapText="1"/>
    </xf>
    <xf numFmtId="0" fontId="28" fillId="4" borderId="86" xfId="0" applyFont="1" applyFill="1" applyBorder="1" applyAlignment="1">
      <alignment horizontal="center" vertical="center" wrapText="1"/>
    </xf>
    <xf numFmtId="0" fontId="28" fillId="4" borderId="6" xfId="0" applyFont="1" applyFill="1" applyBorder="1" applyAlignment="1">
      <alignment horizontal="center" vertical="center" wrapText="1"/>
    </xf>
    <xf numFmtId="0" fontId="19" fillId="10" borderId="74" xfId="0" applyFont="1" applyFill="1" applyBorder="1" applyAlignment="1">
      <alignment horizontal="center"/>
    </xf>
    <xf numFmtId="0" fontId="20" fillId="0" borderId="0" xfId="0" applyFont="1"/>
    <xf numFmtId="0" fontId="20" fillId="0" borderId="0" xfId="0" applyFont="1" applyAlignment="1">
      <alignment horizontal="left"/>
    </xf>
    <xf numFmtId="0" fontId="20" fillId="0" borderId="62" xfId="0" applyFont="1" applyBorder="1"/>
    <xf numFmtId="0" fontId="20" fillId="0" borderId="62" xfId="0" applyFont="1" applyBorder="1" applyAlignment="1">
      <alignment horizontal="left"/>
    </xf>
    <xf numFmtId="0" fontId="86" fillId="30" borderId="68" xfId="0" applyFont="1" applyFill="1" applyBorder="1" applyAlignment="1">
      <alignment horizontal="center" vertical="center" wrapText="1"/>
    </xf>
    <xf numFmtId="0" fontId="86" fillId="30" borderId="7" xfId="0" applyFont="1" applyFill="1" applyBorder="1" applyAlignment="1">
      <alignment horizontal="center" vertical="center" wrapText="1"/>
    </xf>
    <xf numFmtId="0" fontId="86" fillId="30" borderId="98" xfId="0" applyFont="1" applyFill="1" applyBorder="1" applyAlignment="1">
      <alignment horizontal="center" vertical="center" wrapText="1"/>
    </xf>
    <xf numFmtId="0" fontId="86" fillId="29" borderId="94" xfId="0" applyFont="1" applyFill="1" applyBorder="1" applyAlignment="1">
      <alignment horizontal="center" vertical="center" wrapText="1"/>
    </xf>
    <xf numFmtId="0" fontId="86" fillId="29" borderId="86" xfId="0" applyFont="1" applyFill="1" applyBorder="1" applyAlignment="1">
      <alignment horizontal="center" vertical="center" wrapText="1"/>
    </xf>
    <xf numFmtId="0" fontId="86" fillId="29" borderId="97" xfId="0" applyFont="1" applyFill="1" applyBorder="1" applyAlignment="1">
      <alignment horizontal="center" vertical="center" wrapText="1"/>
    </xf>
    <xf numFmtId="0" fontId="26" fillId="2" borderId="68" xfId="0" applyFont="1" applyFill="1" applyBorder="1" applyAlignment="1" applyProtection="1">
      <alignment horizontal="center" vertical="center" textRotation="140" wrapText="1"/>
      <protection locked="0"/>
    </xf>
    <xf numFmtId="0" fontId="26" fillId="2" borderId="7" xfId="0" applyFont="1" applyFill="1" applyBorder="1" applyAlignment="1" applyProtection="1">
      <alignment horizontal="center" vertical="center" textRotation="140" wrapText="1"/>
      <protection locked="0"/>
    </xf>
    <xf numFmtId="0" fontId="26" fillId="2" borderId="69" xfId="0" applyFont="1" applyFill="1" applyBorder="1" applyAlignment="1" applyProtection="1">
      <alignment horizontal="center" vertical="center" textRotation="140" wrapText="1"/>
      <protection locked="0"/>
    </xf>
    <xf numFmtId="0" fontId="23" fillId="2" borderId="68" xfId="0" applyFont="1" applyFill="1" applyBorder="1" applyAlignment="1" applyProtection="1">
      <alignment horizontal="center" vertical="center" wrapText="1"/>
      <protection locked="0"/>
    </xf>
    <xf numFmtId="0" fontId="23" fillId="2" borderId="7" xfId="0" applyFont="1" applyFill="1" applyBorder="1" applyAlignment="1" applyProtection="1">
      <alignment horizontal="center" vertical="center" wrapText="1"/>
      <protection locked="0"/>
    </xf>
    <xf numFmtId="0" fontId="23" fillId="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80" wrapText="1"/>
      <protection locked="0"/>
    </xf>
    <xf numFmtId="0" fontId="26" fillId="2" borderId="7" xfId="0" applyFont="1" applyFill="1" applyBorder="1" applyAlignment="1" applyProtection="1">
      <alignment horizontal="center" vertical="center" textRotation="180" wrapText="1"/>
      <protection locked="0"/>
    </xf>
    <xf numFmtId="0" fontId="26" fillId="2" borderId="69" xfId="0" applyFont="1" applyFill="1" applyBorder="1" applyAlignment="1" applyProtection="1">
      <alignment horizontal="center" vertical="center" textRotation="180" wrapText="1"/>
      <protection locked="0"/>
    </xf>
    <xf numFmtId="0" fontId="30" fillId="28" borderId="94" xfId="0" applyFont="1" applyFill="1" applyBorder="1" applyAlignment="1">
      <alignment horizontal="center" vertical="center" wrapText="1"/>
    </xf>
    <xf numFmtId="0" fontId="30" fillId="28" borderId="86" xfId="0" applyFont="1" applyFill="1" applyBorder="1" applyAlignment="1">
      <alignment horizontal="center" vertical="center" wrapText="1"/>
    </xf>
    <xf numFmtId="0" fontId="30" fillId="28" borderId="97" xfId="0" applyFont="1" applyFill="1" applyBorder="1" applyAlignment="1">
      <alignment horizontal="center" vertical="center" wrapText="1"/>
    </xf>
    <xf numFmtId="2" fontId="26" fillId="2" borderId="68" xfId="0" applyNumberFormat="1" applyFont="1" applyFill="1" applyBorder="1" applyAlignment="1" applyProtection="1">
      <alignment horizontal="center" vertical="center" textRotation="180" wrapText="1"/>
      <protection locked="0"/>
    </xf>
    <xf numFmtId="2" fontId="26" fillId="2" borderId="7" xfId="0" applyNumberFormat="1" applyFont="1" applyFill="1" applyBorder="1" applyAlignment="1" applyProtection="1">
      <alignment horizontal="center" vertical="center" textRotation="180" wrapText="1"/>
      <protection locked="0"/>
    </xf>
    <xf numFmtId="2" fontId="26" fillId="2" borderId="69" xfId="0" applyNumberFormat="1" applyFont="1" applyFill="1" applyBorder="1" applyAlignment="1" applyProtection="1">
      <alignment horizontal="center" vertical="center" textRotation="180" wrapText="1"/>
      <protection locked="0"/>
    </xf>
    <xf numFmtId="0" fontId="37" fillId="12" borderId="68" xfId="0" applyFont="1" applyFill="1" applyBorder="1" applyAlignment="1" applyProtection="1">
      <alignment horizontal="center" textRotation="180" wrapText="1"/>
      <protection locked="0"/>
    </xf>
    <xf numFmtId="0" fontId="37" fillId="12" borderId="7" xfId="0" applyFont="1" applyFill="1" applyBorder="1" applyAlignment="1" applyProtection="1">
      <alignment horizontal="center" textRotation="180"/>
      <protection locked="0"/>
    </xf>
    <xf numFmtId="0" fontId="37" fillId="12" borderId="6" xfId="0" applyFont="1" applyFill="1" applyBorder="1" applyAlignment="1" applyProtection="1">
      <alignment horizontal="center" textRotation="180"/>
      <protection locked="0"/>
    </xf>
    <xf numFmtId="0" fontId="26" fillId="2" borderId="68" xfId="0" applyFont="1" applyFill="1" applyBorder="1" applyAlignment="1" applyProtection="1">
      <alignment horizontal="center" vertical="center" textRotation="180" wrapText="1"/>
      <protection locked="0"/>
    </xf>
    <xf numFmtId="0" fontId="26" fillId="5" borderId="68" xfId="0" applyFont="1" applyFill="1" applyBorder="1" applyAlignment="1" applyProtection="1">
      <alignment horizontal="center" vertical="center" wrapText="1"/>
      <protection locked="0"/>
    </xf>
    <xf numFmtId="0" fontId="26" fillId="5" borderId="7" xfId="0" applyFont="1" applyFill="1" applyBorder="1" applyAlignment="1" applyProtection="1">
      <alignment horizontal="center" vertical="center" wrapText="1"/>
      <protection locked="0"/>
    </xf>
    <xf numFmtId="0" fontId="26" fillId="5" borderId="69" xfId="0" applyFont="1" applyFill="1" applyBorder="1" applyAlignment="1" applyProtection="1">
      <alignment horizontal="center" vertical="center" wrapText="1"/>
      <protection locked="0"/>
    </xf>
    <xf numFmtId="0" fontId="26" fillId="12" borderId="68" xfId="0" applyFont="1" applyFill="1" applyBorder="1" applyAlignment="1" applyProtection="1">
      <alignment horizontal="center" vertical="center" wrapText="1"/>
      <protection locked="0"/>
    </xf>
    <xf numFmtId="0" fontId="26" fillId="12" borderId="7" xfId="0" applyFont="1" applyFill="1" applyBorder="1" applyAlignment="1" applyProtection="1">
      <alignment horizontal="center" vertical="center" wrapText="1"/>
      <protection locked="0"/>
    </xf>
    <xf numFmtId="0" fontId="26" fillId="12" borderId="69" xfId="0" applyFont="1" applyFill="1" applyBorder="1" applyAlignment="1" applyProtection="1">
      <alignment horizontal="center" vertical="center" wrapText="1"/>
      <protection locked="0"/>
    </xf>
    <xf numFmtId="0" fontId="26" fillId="8" borderId="68" xfId="0" applyFont="1" applyFill="1" applyBorder="1" applyAlignment="1" applyProtection="1">
      <alignment horizontal="center" vertical="center" textRotation="180" wrapText="1"/>
      <protection locked="0"/>
    </xf>
    <xf numFmtId="0" fontId="26" fillId="8" borderId="7" xfId="0" applyFont="1" applyFill="1" applyBorder="1" applyAlignment="1" applyProtection="1">
      <alignment horizontal="center" vertical="center" textRotation="180" wrapText="1"/>
      <protection locked="0"/>
    </xf>
    <xf numFmtId="0" fontId="26" fillId="8"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wrapText="1"/>
      <protection locked="0"/>
    </xf>
    <xf numFmtId="0" fontId="10" fillId="2" borderId="7" xfId="0" applyFont="1" applyFill="1" applyBorder="1" applyAlignment="1" applyProtection="1">
      <alignment horizontal="center" vertical="center" wrapText="1"/>
      <protection locked="0"/>
    </xf>
    <xf numFmtId="0" fontId="10" fillId="2" borderId="69" xfId="0" applyFont="1" applyFill="1" applyBorder="1" applyAlignment="1" applyProtection="1">
      <alignment horizontal="center" vertical="center" wrapText="1"/>
      <protection locked="0"/>
    </xf>
    <xf numFmtId="0" fontId="37" fillId="12" borderId="68" xfId="0" applyFont="1" applyFill="1" applyBorder="1" applyAlignment="1" applyProtection="1">
      <alignment horizontal="center" textRotation="180"/>
      <protection locked="0"/>
    </xf>
    <xf numFmtId="0" fontId="37" fillId="12" borderId="69" xfId="0" applyFont="1" applyFill="1" applyBorder="1" applyAlignment="1" applyProtection="1">
      <alignment horizontal="center" textRotation="180"/>
      <protection locked="0"/>
    </xf>
    <xf numFmtId="0" fontId="10" fillId="5" borderId="68" xfId="0" applyFont="1" applyFill="1" applyBorder="1" applyAlignment="1" applyProtection="1">
      <alignment horizontal="center" vertical="center" textRotation="180" wrapText="1"/>
      <protection locked="0"/>
    </xf>
    <xf numFmtId="0" fontId="10" fillId="5" borderId="7" xfId="0" applyFont="1" applyFill="1" applyBorder="1" applyAlignment="1" applyProtection="1">
      <alignment horizontal="center" vertical="center" textRotation="180" wrapText="1"/>
      <protection locked="0"/>
    </xf>
    <xf numFmtId="0" fontId="10" fillId="5" borderId="69" xfId="0" applyFont="1" applyFill="1" applyBorder="1" applyAlignment="1" applyProtection="1">
      <alignment horizontal="center" vertical="center" textRotation="180" wrapText="1"/>
      <protection locked="0"/>
    </xf>
    <xf numFmtId="0" fontId="37" fillId="0" borderId="68" xfId="0" applyFont="1" applyBorder="1" applyAlignment="1" applyProtection="1">
      <alignment horizontal="center" textRotation="180"/>
      <protection locked="0"/>
    </xf>
    <xf numFmtId="0" fontId="37" fillId="0" borderId="7" xfId="0" applyFont="1" applyBorder="1" applyAlignment="1" applyProtection="1">
      <alignment horizontal="center" textRotation="180"/>
      <protection locked="0"/>
    </xf>
    <xf numFmtId="0" fontId="37" fillId="0" borderId="6" xfId="0" applyFont="1" applyBorder="1" applyAlignment="1" applyProtection="1">
      <alignment horizontal="center" textRotation="180"/>
      <protection locked="0"/>
    </xf>
    <xf numFmtId="0" fontId="19" fillId="0" borderId="12" xfId="0" applyFont="1" applyBorder="1" applyAlignment="1" applyProtection="1">
      <alignment horizontal="center"/>
      <protection locked="0"/>
    </xf>
    <xf numFmtId="0" fontId="19" fillId="0" borderId="13" xfId="0" applyFont="1" applyBorder="1" applyAlignment="1" applyProtection="1">
      <alignment horizontal="center"/>
      <protection locked="0"/>
    </xf>
    <xf numFmtId="0" fontId="19" fillId="0" borderId="14" xfId="0" applyFont="1" applyBorder="1" applyAlignment="1" applyProtection="1">
      <alignment horizontal="center"/>
      <protection locked="0"/>
    </xf>
    <xf numFmtId="0" fontId="19" fillId="0" borderId="16" xfId="0" applyFont="1" applyBorder="1" applyAlignment="1" applyProtection="1">
      <alignment horizontal="center"/>
      <protection locked="0"/>
    </xf>
    <xf numFmtId="0" fontId="19" fillId="0" borderId="5" xfId="0" applyFont="1" applyBorder="1" applyAlignment="1" applyProtection="1">
      <alignment horizontal="center"/>
      <protection locked="0"/>
    </xf>
    <xf numFmtId="0" fontId="19" fillId="0" borderId="18" xfId="0" applyFont="1" applyBorder="1" applyAlignment="1" applyProtection="1">
      <alignment horizontal="center"/>
      <protection locked="0"/>
    </xf>
    <xf numFmtId="0" fontId="32" fillId="2" borderId="68" xfId="0" applyFont="1" applyFill="1" applyBorder="1" applyAlignment="1">
      <alignment horizontal="left" vertical="center"/>
    </xf>
    <xf numFmtId="0" fontId="32" fillId="2" borderId="6" xfId="0" applyFont="1" applyFill="1" applyBorder="1" applyAlignment="1">
      <alignment horizontal="left" vertical="center"/>
    </xf>
    <xf numFmtId="0" fontId="9" fillId="2" borderId="68" xfId="0" applyFont="1" applyFill="1" applyBorder="1" applyAlignment="1" applyProtection="1">
      <alignment horizontal="center" vertical="center" textRotation="90" wrapText="1"/>
      <protection locked="0"/>
    </xf>
    <xf numFmtId="0" fontId="9" fillId="2" borderId="7" xfId="0" applyFont="1" applyFill="1" applyBorder="1" applyAlignment="1" applyProtection="1">
      <alignment horizontal="center" vertical="center" textRotation="90" wrapText="1"/>
      <protection locked="0"/>
    </xf>
    <xf numFmtId="0" fontId="9" fillId="2" borderId="69" xfId="0" applyFont="1" applyFill="1" applyBorder="1" applyAlignment="1" applyProtection="1">
      <alignment horizontal="center" vertical="center" textRotation="90" wrapText="1"/>
      <protection locked="0"/>
    </xf>
    <xf numFmtId="0" fontId="22" fillId="2" borderId="68" xfId="0" applyFont="1" applyFill="1" applyBorder="1" applyAlignment="1" applyProtection="1">
      <alignment horizontal="left" vertical="center" textRotation="90"/>
      <protection locked="0"/>
    </xf>
    <xf numFmtId="0" fontId="22" fillId="2" borderId="7" xfId="0" applyFont="1" applyFill="1" applyBorder="1" applyAlignment="1" applyProtection="1">
      <alignment horizontal="left" vertical="center" textRotation="90"/>
      <protection locked="0"/>
    </xf>
    <xf numFmtId="0" fontId="22" fillId="2" borderId="69" xfId="0" applyFont="1" applyFill="1" applyBorder="1" applyAlignment="1" applyProtection="1">
      <alignment horizontal="left" vertical="center" textRotation="90"/>
      <protection locked="0"/>
    </xf>
    <xf numFmtId="0" fontId="10" fillId="2" borderId="12" xfId="0" applyFont="1" applyFill="1" applyBorder="1" applyAlignment="1" applyProtection="1">
      <alignment horizontal="center" vertical="center" wrapText="1"/>
      <protection locked="0"/>
    </xf>
    <xf numFmtId="0" fontId="10" fillId="2" borderId="13" xfId="0" applyFont="1" applyFill="1" applyBorder="1" applyAlignment="1" applyProtection="1">
      <alignment horizontal="center" vertical="center" wrapText="1"/>
      <protection locked="0"/>
    </xf>
    <xf numFmtId="0" fontId="10" fillId="2" borderId="14" xfId="0" applyFont="1" applyFill="1" applyBorder="1" applyAlignment="1" applyProtection="1">
      <alignment horizontal="center" vertical="center" wrapText="1"/>
      <protection locked="0"/>
    </xf>
    <xf numFmtId="0" fontId="16" fillId="2" borderId="25" xfId="0" applyFont="1" applyFill="1" applyBorder="1" applyAlignment="1" applyProtection="1">
      <alignment horizontal="center" vertical="center" wrapText="1"/>
      <protection locked="0"/>
    </xf>
    <xf numFmtId="0" fontId="16" fillId="2" borderId="26"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center" vertical="center" wrapText="1"/>
      <protection locked="0"/>
    </xf>
    <xf numFmtId="0" fontId="16" fillId="2" borderId="61" xfId="0" applyFont="1" applyFill="1" applyBorder="1" applyAlignment="1" applyProtection="1">
      <alignment horizontal="center" vertical="center" wrapText="1"/>
      <protection locked="0"/>
    </xf>
    <xf numFmtId="0" fontId="16" fillId="2" borderId="62" xfId="0" applyFont="1" applyFill="1" applyBorder="1" applyAlignment="1" applyProtection="1">
      <alignment horizontal="center" vertical="center" wrapText="1"/>
      <protection locked="0"/>
    </xf>
    <xf numFmtId="0" fontId="16" fillId="2" borderId="57" xfId="0" applyFont="1" applyFill="1" applyBorder="1" applyAlignment="1" applyProtection="1">
      <alignment horizontal="center" vertical="center" wrapText="1"/>
      <protection locked="0"/>
    </xf>
    <xf numFmtId="0" fontId="19" fillId="0" borderId="22" xfId="0" applyFont="1" applyBorder="1" applyAlignment="1" applyProtection="1">
      <alignment horizontal="center"/>
      <protection locked="0"/>
    </xf>
    <xf numFmtId="0" fontId="19" fillId="0" borderId="23" xfId="0" applyFont="1" applyBorder="1" applyAlignment="1" applyProtection="1">
      <alignment horizontal="center"/>
      <protection locked="0"/>
    </xf>
    <xf numFmtId="0" fontId="10" fillId="2" borderId="44" xfId="0" applyFont="1" applyFill="1" applyBorder="1" applyAlignment="1" applyProtection="1">
      <alignment horizontal="center" vertical="center" wrapText="1"/>
      <protection locked="0"/>
    </xf>
    <xf numFmtId="0" fontId="10" fillId="2" borderId="65" xfId="0" applyFont="1" applyFill="1" applyBorder="1" applyAlignment="1" applyProtection="1">
      <alignment horizontal="center" vertical="center" wrapText="1"/>
      <protection locked="0"/>
    </xf>
    <xf numFmtId="0" fontId="10" fillId="2" borderId="50" xfId="0" applyFont="1" applyFill="1" applyBorder="1" applyAlignment="1" applyProtection="1">
      <alignment horizontal="center" vertical="center" wrapText="1"/>
      <protection locked="0"/>
    </xf>
    <xf numFmtId="0" fontId="10" fillId="2" borderId="26"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10" fillId="2" borderId="93" xfId="0" applyFont="1" applyFill="1" applyBorder="1" applyAlignment="1" applyProtection="1">
      <alignment horizontal="center" vertical="center" wrapText="1"/>
      <protection locked="0"/>
    </xf>
    <xf numFmtId="0" fontId="10" fillId="2" borderId="112" xfId="0" applyFont="1" applyFill="1" applyBorder="1" applyAlignment="1" applyProtection="1">
      <alignment horizontal="center" vertical="center" wrapText="1"/>
      <protection locked="0"/>
    </xf>
    <xf numFmtId="0" fontId="10" fillId="2" borderId="94" xfId="0" applyFont="1" applyFill="1" applyBorder="1" applyAlignment="1" applyProtection="1">
      <alignment horizontal="center" vertical="center" wrapText="1"/>
      <protection locked="0"/>
    </xf>
    <xf numFmtId="0" fontId="10" fillId="2" borderId="15" xfId="0" applyFont="1" applyFill="1" applyBorder="1" applyAlignment="1" applyProtection="1">
      <alignment horizontal="center" vertical="center" wrapText="1"/>
      <protection locked="0"/>
    </xf>
    <xf numFmtId="0" fontId="10" fillId="2" borderId="30" xfId="0" applyFont="1" applyFill="1" applyBorder="1" applyAlignment="1" applyProtection="1">
      <alignment horizontal="center" vertical="center" wrapText="1"/>
      <protection locked="0"/>
    </xf>
    <xf numFmtId="0" fontId="10"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6" fillId="12" borderId="68" xfId="0" applyFont="1" applyFill="1" applyBorder="1" applyAlignment="1" applyProtection="1">
      <alignment horizontal="center" vertical="center" textRotation="180" wrapText="1"/>
      <protection locked="0"/>
    </xf>
    <xf numFmtId="0" fontId="26" fillId="12" borderId="7" xfId="0" applyFont="1" applyFill="1" applyBorder="1" applyAlignment="1" applyProtection="1">
      <alignment horizontal="center" vertical="center" textRotation="180" wrapText="1"/>
      <protection locked="0"/>
    </xf>
    <xf numFmtId="0" fontId="26"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8" fillId="2" borderId="68" xfId="0" applyFont="1" applyFill="1" applyBorder="1" applyAlignment="1" applyProtection="1">
      <alignment horizontal="center" vertical="center" textRotation="180" wrapText="1"/>
      <protection locked="0"/>
    </xf>
    <xf numFmtId="0" fontId="38" fillId="2" borderId="7" xfId="0" applyFont="1" applyFill="1" applyBorder="1" applyAlignment="1" applyProtection="1">
      <alignment horizontal="center" vertical="center" textRotation="180" wrapText="1"/>
      <protection locked="0"/>
    </xf>
    <xf numFmtId="0" fontId="38" fillId="2"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textRotation="180" wrapText="1"/>
      <protection locked="0"/>
    </xf>
    <xf numFmtId="0" fontId="10" fillId="2" borderId="7" xfId="0" applyFont="1" applyFill="1" applyBorder="1" applyAlignment="1" applyProtection="1">
      <alignment horizontal="center" vertical="center" textRotation="180" wrapText="1"/>
      <protection locked="0"/>
    </xf>
    <xf numFmtId="0" fontId="10" fillId="2" borderId="69" xfId="0" applyFont="1" applyFill="1" applyBorder="1" applyAlignment="1" applyProtection="1">
      <alignment horizontal="center" vertical="center" textRotation="180" wrapText="1"/>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30" fillId="4" borderId="112" xfId="0" applyFont="1" applyFill="1" applyBorder="1" applyAlignment="1">
      <alignment horizontal="center" vertical="center" wrapText="1"/>
    </xf>
    <xf numFmtId="0" fontId="30" fillId="4" borderId="68"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30" fillId="4" borderId="98" xfId="0" applyFont="1" applyFill="1" applyBorder="1" applyAlignment="1">
      <alignment horizontal="center" vertical="center" wrapText="1"/>
    </xf>
    <xf numFmtId="169" fontId="30" fillId="26" borderId="112" xfId="12" applyNumberFormat="1" applyFont="1" applyFill="1" applyBorder="1" applyAlignment="1">
      <alignment horizontal="center" vertical="center" wrapText="1"/>
    </xf>
    <xf numFmtId="169" fontId="30" fillId="26" borderId="85" xfId="12" applyNumberFormat="1" applyFont="1" applyFill="1" applyBorder="1" applyAlignment="1">
      <alignment horizontal="center" vertical="center" wrapText="1"/>
    </xf>
    <xf numFmtId="169" fontId="30" fillId="26" borderId="92" xfId="12" applyNumberFormat="1" applyFont="1" applyFill="1" applyBorder="1" applyAlignment="1">
      <alignment horizontal="center" vertical="center" wrapText="1"/>
    </xf>
    <xf numFmtId="0" fontId="30" fillId="26" borderId="94" xfId="0" applyFont="1" applyFill="1" applyBorder="1" applyAlignment="1">
      <alignment horizontal="center" vertical="center" wrapText="1"/>
    </xf>
    <xf numFmtId="0" fontId="30" fillId="26" borderId="86" xfId="0" applyFont="1" applyFill="1" applyBorder="1" applyAlignment="1">
      <alignment horizontal="center" vertical="center" wrapText="1"/>
    </xf>
    <xf numFmtId="0" fontId="30" fillId="26" borderId="97" xfId="0" applyFont="1" applyFill="1" applyBorder="1" applyAlignment="1">
      <alignment horizontal="center" vertical="center" wrapText="1"/>
    </xf>
    <xf numFmtId="0" fontId="30" fillId="4" borderId="93" xfId="0" applyFont="1" applyFill="1" applyBorder="1" applyAlignment="1">
      <alignment horizontal="center" vertical="center" wrapText="1"/>
    </xf>
    <xf numFmtId="0" fontId="30" fillId="4" borderId="84" xfId="0" applyFont="1" applyFill="1" applyBorder="1" applyAlignment="1">
      <alignment horizontal="center" vertical="center" wrapText="1"/>
    </xf>
    <xf numFmtId="0" fontId="30" fillId="4" borderId="87" xfId="0" applyFont="1" applyFill="1" applyBorder="1" applyAlignment="1">
      <alignment horizontal="center" vertical="center" wrapText="1"/>
    </xf>
    <xf numFmtId="1" fontId="30" fillId="25" borderId="94" xfId="0" applyNumberFormat="1" applyFont="1" applyFill="1" applyBorder="1" applyAlignment="1">
      <alignment horizontal="center" vertical="center" wrapText="1"/>
    </xf>
    <xf numFmtId="1" fontId="30" fillId="25" borderId="86" xfId="0" applyNumberFormat="1" applyFont="1" applyFill="1" applyBorder="1" applyAlignment="1">
      <alignment horizontal="center" vertical="center" wrapText="1"/>
    </xf>
    <xf numFmtId="1" fontId="30" fillId="25" borderId="97" xfId="0" applyNumberFormat="1" applyFont="1" applyFill="1" applyBorder="1" applyAlignment="1">
      <alignment horizontal="center" vertical="center" wrapText="1"/>
    </xf>
    <xf numFmtId="0" fontId="30" fillId="15" borderId="94" xfId="0" applyFont="1" applyFill="1" applyBorder="1" applyAlignment="1">
      <alignment horizontal="center" vertical="center" wrapText="1"/>
    </xf>
    <xf numFmtId="0" fontId="30" fillId="15" borderId="86" xfId="0" applyFont="1" applyFill="1" applyBorder="1" applyAlignment="1">
      <alignment horizontal="center" vertical="center" wrapText="1"/>
    </xf>
    <xf numFmtId="0" fontId="30" fillId="15" borderId="97" xfId="0" applyFont="1" applyFill="1" applyBorder="1" applyAlignment="1">
      <alignment horizontal="center" vertical="center" wrapText="1"/>
    </xf>
    <xf numFmtId="0" fontId="30" fillId="15" borderId="25" xfId="0" applyFont="1" applyFill="1" applyBorder="1" applyAlignment="1">
      <alignment horizontal="center" vertical="center" wrapText="1"/>
    </xf>
    <xf numFmtId="0" fontId="30" fillId="15" borderId="26" xfId="0" applyFont="1" applyFill="1" applyBorder="1" applyAlignment="1">
      <alignment horizontal="center" vertical="center" wrapText="1"/>
    </xf>
    <xf numFmtId="0" fontId="30" fillId="15" borderId="1" xfId="0" applyFont="1" applyFill="1" applyBorder="1" applyAlignment="1">
      <alignment horizontal="center" vertical="center" wrapText="1"/>
    </xf>
    <xf numFmtId="0" fontId="30" fillId="15" borderId="61" xfId="0" applyFont="1" applyFill="1" applyBorder="1" applyAlignment="1">
      <alignment horizontal="center" vertical="center" wrapText="1"/>
    </xf>
    <xf numFmtId="0" fontId="30" fillId="15" borderId="62" xfId="0" applyFont="1" applyFill="1" applyBorder="1" applyAlignment="1">
      <alignment horizontal="center" vertical="center" wrapText="1"/>
    </xf>
    <xf numFmtId="0" fontId="30" fillId="15" borderId="57" xfId="0" applyFont="1" applyFill="1" applyBorder="1" applyAlignment="1">
      <alignment horizontal="center" vertical="center" wrapText="1"/>
    </xf>
    <xf numFmtId="0" fontId="42" fillId="2" borderId="68" xfId="0" applyFont="1" applyFill="1" applyBorder="1" applyAlignment="1" applyProtection="1">
      <alignment horizontal="center" vertical="center" textRotation="150" wrapText="1"/>
      <protection locked="0"/>
    </xf>
    <xf numFmtId="0" fontId="42" fillId="2" borderId="7" xfId="0" applyFont="1" applyFill="1" applyBorder="1" applyAlignment="1" applyProtection="1">
      <alignment horizontal="center" vertical="center" textRotation="150" wrapText="1"/>
      <protection locked="0"/>
    </xf>
    <xf numFmtId="0" fontId="42" fillId="2" borderId="69" xfId="0" applyFont="1" applyFill="1" applyBorder="1" applyAlignment="1" applyProtection="1">
      <alignment horizontal="center" vertical="center" textRotation="150" wrapText="1"/>
      <protection locked="0"/>
    </xf>
    <xf numFmtId="0" fontId="30" fillId="15" borderId="68" xfId="0" applyFont="1" applyFill="1" applyBorder="1" applyAlignment="1">
      <alignment horizontal="center" vertical="center" wrapText="1"/>
    </xf>
    <xf numFmtId="0" fontId="30" fillId="15" borderId="7" xfId="0" applyFont="1" applyFill="1" applyBorder="1" applyAlignment="1">
      <alignment horizontal="center" vertical="center" wrapText="1"/>
    </xf>
    <xf numFmtId="0" fontId="30" fillId="15" borderId="98"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6" borderId="1" xfId="0" applyFont="1" applyFill="1" applyBorder="1" applyAlignment="1">
      <alignment horizontal="center" vertical="center" wrapText="1"/>
    </xf>
    <xf numFmtId="0" fontId="28" fillId="16" borderId="2" xfId="0" applyFont="1" applyFill="1" applyBorder="1" applyAlignment="1">
      <alignment horizontal="center" vertical="center" wrapText="1"/>
    </xf>
    <xf numFmtId="0" fontId="28" fillId="16" borderId="105" xfId="0" applyFont="1" applyFill="1" applyBorder="1" applyAlignment="1">
      <alignment horizontal="center" vertical="center" wrapText="1"/>
    </xf>
    <xf numFmtId="0" fontId="28" fillId="17" borderId="112" xfId="0" applyFont="1" applyFill="1" applyBorder="1" applyAlignment="1">
      <alignment horizontal="center" vertical="center" wrapText="1"/>
    </xf>
    <xf numFmtId="0" fontId="28" fillId="17" borderId="85" xfId="0" applyFont="1" applyFill="1" applyBorder="1" applyAlignment="1">
      <alignment horizontal="center" vertical="center" wrapText="1"/>
    </xf>
    <xf numFmtId="0" fontId="28" fillId="17" borderId="92" xfId="0" applyFont="1" applyFill="1" applyBorder="1" applyAlignment="1">
      <alignment horizontal="center" vertical="center" wrapText="1"/>
    </xf>
    <xf numFmtId="167" fontId="28" fillId="16" borderId="112" xfId="0" applyNumberFormat="1" applyFont="1" applyFill="1" applyBorder="1" applyAlignment="1">
      <alignment horizontal="center" vertical="center" wrapText="1"/>
    </xf>
    <xf numFmtId="167" fontId="28" fillId="16" borderId="85" xfId="0" applyNumberFormat="1" applyFont="1" applyFill="1" applyBorder="1" applyAlignment="1">
      <alignment horizontal="center" vertical="center" wrapText="1"/>
    </xf>
    <xf numFmtId="167" fontId="28" fillId="16" borderId="92" xfId="0" applyNumberFormat="1" applyFont="1" applyFill="1" applyBorder="1" applyAlignment="1">
      <alignment horizontal="center" vertical="center" wrapText="1"/>
    </xf>
    <xf numFmtId="1" fontId="28" fillId="16" borderId="94" xfId="0" applyNumberFormat="1" applyFont="1" applyFill="1" applyBorder="1" applyAlignment="1">
      <alignment horizontal="center" vertical="center" wrapText="1"/>
    </xf>
    <xf numFmtId="1" fontId="28" fillId="16" borderId="86" xfId="0" applyNumberFormat="1" applyFont="1" applyFill="1" applyBorder="1" applyAlignment="1">
      <alignment horizontal="center" vertical="center" wrapText="1"/>
    </xf>
    <xf numFmtId="1" fontId="28" fillId="16" borderId="97" xfId="0" applyNumberFormat="1" applyFont="1" applyFill="1" applyBorder="1" applyAlignment="1">
      <alignment horizontal="center" vertical="center" wrapText="1"/>
    </xf>
    <xf numFmtId="0" fontId="28" fillId="17" borderId="93" xfId="0" applyFont="1" applyFill="1" applyBorder="1" applyAlignment="1">
      <alignment horizontal="center" vertical="center" wrapText="1"/>
    </xf>
    <xf numFmtId="0" fontId="28" fillId="17" borderId="84" xfId="0" applyFont="1" applyFill="1" applyBorder="1" applyAlignment="1">
      <alignment horizontal="center" vertical="center" wrapText="1"/>
    </xf>
    <xf numFmtId="0" fontId="28" fillId="17" borderId="87" xfId="0" applyFont="1" applyFill="1" applyBorder="1" applyAlignment="1">
      <alignment horizontal="center" vertical="center" wrapText="1"/>
    </xf>
    <xf numFmtId="167" fontId="28" fillId="17" borderId="112" xfId="0" applyNumberFormat="1" applyFont="1" applyFill="1" applyBorder="1" applyAlignment="1">
      <alignment horizontal="center" vertical="center" wrapText="1"/>
    </xf>
    <xf numFmtId="167" fontId="28" fillId="17" borderId="85" xfId="0" applyNumberFormat="1" applyFont="1" applyFill="1" applyBorder="1" applyAlignment="1">
      <alignment horizontal="center" vertical="center" wrapText="1"/>
    </xf>
    <xf numFmtId="167" fontId="28" fillId="17" borderId="92" xfId="0" applyNumberFormat="1" applyFont="1" applyFill="1" applyBorder="1" applyAlignment="1">
      <alignment horizontal="center" vertical="center" wrapText="1"/>
    </xf>
    <xf numFmtId="169" fontId="28" fillId="16" borderId="112" xfId="0" applyNumberFormat="1" applyFont="1" applyFill="1" applyBorder="1" applyAlignment="1">
      <alignment horizontal="center" vertical="center" wrapText="1"/>
    </xf>
    <xf numFmtId="169" fontId="28" fillId="16" borderId="85" xfId="0" applyNumberFormat="1" applyFont="1" applyFill="1" applyBorder="1" applyAlignment="1">
      <alignment horizontal="center" vertical="center" wrapText="1"/>
    </xf>
    <xf numFmtId="169" fontId="28" fillId="16" borderId="92" xfId="0" applyNumberFormat="1" applyFont="1" applyFill="1" applyBorder="1" applyAlignment="1">
      <alignment horizontal="center" vertical="center" wrapText="1"/>
    </xf>
    <xf numFmtId="0" fontId="80" fillId="2" borderId="68" xfId="0" applyFont="1" applyFill="1" applyBorder="1" applyAlignment="1">
      <alignment horizontal="center" vertical="center"/>
    </xf>
    <xf numFmtId="0" fontId="80" fillId="2" borderId="6" xfId="0" applyFont="1" applyFill="1" applyBorder="1" applyAlignment="1">
      <alignment horizontal="center" vertical="center"/>
    </xf>
    <xf numFmtId="0" fontId="23" fillId="11" borderId="93" xfId="0" applyFont="1" applyFill="1" applyBorder="1" applyAlignment="1">
      <alignment horizontal="center" vertical="center" wrapText="1"/>
    </xf>
    <xf numFmtId="0" fontId="23" fillId="11" borderId="84" xfId="0" applyFont="1" applyFill="1" applyBorder="1" applyAlignment="1">
      <alignment horizontal="center" vertical="center" wrapText="1"/>
    </xf>
    <xf numFmtId="0" fontId="23" fillId="11" borderId="87" xfId="0" applyFont="1" applyFill="1" applyBorder="1" applyAlignment="1">
      <alignment horizontal="center" vertical="center" wrapText="1"/>
    </xf>
    <xf numFmtId="0" fontId="71" fillId="2" borderId="68" xfId="0" applyFont="1" applyFill="1" applyBorder="1" applyAlignment="1">
      <alignment horizontal="center" vertical="center"/>
    </xf>
    <xf numFmtId="0" fontId="71" fillId="2" borderId="6" xfId="0" applyFont="1" applyFill="1" applyBorder="1" applyAlignment="1">
      <alignment horizontal="center" vertical="center"/>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9" fontId="84" fillId="0" borderId="68" xfId="15" applyFont="1" applyFill="1" applyBorder="1" applyAlignment="1">
      <alignment horizontal="center" vertical="center" wrapText="1"/>
    </xf>
    <xf numFmtId="9" fontId="84" fillId="0" borderId="69" xfId="15" applyFont="1" applyFill="1" applyBorder="1" applyAlignment="1">
      <alignment horizontal="center" vertical="center"/>
    </xf>
    <xf numFmtId="0" fontId="84" fillId="0" borderId="22" xfId="0" applyFont="1" applyBorder="1" applyAlignment="1">
      <alignment horizontal="center" vertical="center"/>
    </xf>
    <xf numFmtId="0" fontId="84" fillId="0" borderId="23" xfId="0" applyFont="1" applyBorder="1" applyAlignment="1">
      <alignment horizontal="center" vertical="center"/>
    </xf>
    <xf numFmtId="0" fontId="84" fillId="0" borderId="24" xfId="0" applyFont="1" applyBorder="1" applyAlignment="1">
      <alignment horizontal="center" vertical="center"/>
    </xf>
    <xf numFmtId="0" fontId="84" fillId="0" borderId="68" xfId="0" applyFont="1" applyBorder="1" applyAlignment="1">
      <alignment horizontal="center" vertical="center"/>
    </xf>
    <xf numFmtId="0" fontId="84" fillId="0" borderId="69" xfId="0" applyFont="1" applyBorder="1" applyAlignment="1">
      <alignment horizontal="center" vertical="center"/>
    </xf>
    <xf numFmtId="0" fontId="84" fillId="0" borderId="68" xfId="0" applyFont="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6" xfId="0" applyFont="1" applyFill="1" applyBorder="1" applyAlignment="1">
      <alignment horizontal="center" vertical="center" wrapText="1"/>
    </xf>
    <xf numFmtId="0" fontId="28" fillId="24" borderId="93" xfId="0" applyFont="1" applyFill="1" applyBorder="1" applyAlignment="1">
      <alignment horizontal="center" vertical="center" wrapText="1"/>
    </xf>
    <xf numFmtId="0" fontId="28" fillId="24" borderId="84" xfId="0" applyFont="1" applyFill="1" applyBorder="1" applyAlignment="1">
      <alignment horizontal="center" vertical="center" wrapText="1"/>
    </xf>
    <xf numFmtId="0" fontId="28" fillId="24" borderId="87" xfId="0" applyFont="1" applyFill="1" applyBorder="1" applyAlignment="1">
      <alignment horizontal="center" vertical="center" wrapText="1"/>
    </xf>
    <xf numFmtId="167" fontId="28" fillId="24" borderId="112" xfId="0" applyNumberFormat="1" applyFont="1" applyFill="1" applyBorder="1" applyAlignment="1">
      <alignment horizontal="center" vertical="center" wrapText="1"/>
    </xf>
    <xf numFmtId="167" fontId="28" fillId="24" borderId="85" xfId="0" applyNumberFormat="1" applyFont="1" applyFill="1" applyBorder="1" applyAlignment="1">
      <alignment horizontal="center" vertical="center" wrapText="1"/>
    </xf>
    <xf numFmtId="167" fontId="28" fillId="24" borderId="92" xfId="0" applyNumberFormat="1" applyFont="1" applyFill="1" applyBorder="1" applyAlignment="1">
      <alignment horizontal="center" vertical="center" wrapText="1"/>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23" fillId="8" borderId="44" xfId="0" applyFont="1" applyFill="1" applyBorder="1" applyAlignment="1" applyProtection="1">
      <alignment horizontal="center" vertical="center" wrapText="1"/>
      <protection locked="0"/>
    </xf>
    <xf numFmtId="0" fontId="23" fillId="8" borderId="50" xfId="0" applyFont="1" applyFill="1" applyBorder="1" applyAlignment="1" applyProtection="1">
      <alignment horizontal="center" vertical="center" wrapText="1"/>
      <protection locked="0"/>
    </xf>
    <xf numFmtId="0" fontId="28" fillId="4" borderId="92" xfId="0" applyFont="1" applyFill="1" applyBorder="1" applyAlignment="1">
      <alignment horizontal="center" vertical="center" wrapText="1"/>
    </xf>
    <xf numFmtId="0" fontId="28" fillId="13" borderId="112" xfId="0" applyFont="1" applyFill="1" applyBorder="1" applyAlignment="1">
      <alignment horizontal="center" vertical="center" wrapText="1"/>
    </xf>
    <xf numFmtId="0" fontId="28" fillId="13" borderId="85" xfId="0" applyFont="1" applyFill="1" applyBorder="1" applyAlignment="1">
      <alignment horizontal="center" vertical="center" wrapText="1"/>
    </xf>
    <xf numFmtId="0" fontId="28" fillId="13" borderId="92" xfId="0" applyFont="1" applyFill="1" applyBorder="1" applyAlignment="1">
      <alignment horizontal="center" vertical="center" wrapText="1"/>
    </xf>
    <xf numFmtId="1" fontId="28" fillId="31" borderId="94" xfId="0" applyNumberFormat="1" applyFont="1" applyFill="1" applyBorder="1" applyAlignment="1">
      <alignment horizontal="center" vertical="center" wrapText="1"/>
    </xf>
    <xf numFmtId="1" fontId="28" fillId="31" borderId="86" xfId="0" applyNumberFormat="1" applyFont="1" applyFill="1" applyBorder="1" applyAlignment="1">
      <alignment horizontal="center" vertical="center" wrapText="1"/>
    </xf>
    <xf numFmtId="1" fontId="28" fillId="31" borderId="97" xfId="0" applyNumberFormat="1" applyFont="1" applyFill="1" applyBorder="1" applyAlignment="1">
      <alignment horizontal="center" vertical="center" wrapText="1"/>
    </xf>
    <xf numFmtId="0" fontId="28" fillId="31" borderId="94" xfId="0" applyFont="1" applyFill="1" applyBorder="1" applyAlignment="1">
      <alignment horizontal="center" vertical="center" wrapText="1"/>
    </xf>
    <xf numFmtId="0" fontId="28" fillId="31" borderId="86" xfId="0" applyFont="1" applyFill="1" applyBorder="1" applyAlignment="1">
      <alignment horizontal="center" vertical="center" wrapText="1"/>
    </xf>
    <xf numFmtId="0" fontId="28" fillId="31" borderId="97" xfId="0" applyFont="1" applyFill="1" applyBorder="1" applyAlignment="1">
      <alignment horizontal="center" vertical="center" wrapText="1"/>
    </xf>
    <xf numFmtId="0" fontId="28" fillId="31" borderId="112" xfId="0" applyFont="1" applyFill="1" applyBorder="1" applyAlignment="1">
      <alignment horizontal="center" vertical="center" wrapText="1"/>
    </xf>
    <xf numFmtId="0" fontId="28" fillId="31" borderId="85" xfId="0" applyFont="1" applyFill="1" applyBorder="1" applyAlignment="1">
      <alignment horizontal="center" vertical="center" wrapText="1"/>
    </xf>
    <xf numFmtId="0" fontId="28" fillId="31" borderId="92" xfId="0" applyFont="1" applyFill="1" applyBorder="1" applyAlignment="1">
      <alignment horizontal="center" vertical="center" wrapText="1"/>
    </xf>
    <xf numFmtId="0" fontId="28" fillId="31" borderId="1" xfId="0" applyFont="1" applyFill="1" applyBorder="1" applyAlignment="1">
      <alignment horizontal="center" vertical="center" wrapText="1"/>
    </xf>
    <xf numFmtId="0" fontId="28" fillId="31" borderId="2" xfId="0" applyFont="1" applyFill="1" applyBorder="1" applyAlignment="1">
      <alignment horizontal="center" vertical="center" wrapText="1"/>
    </xf>
    <xf numFmtId="0" fontId="28" fillId="31" borderId="105" xfId="0" applyFont="1" applyFill="1" applyBorder="1" applyAlignment="1">
      <alignment horizontal="center" vertical="center" wrapText="1"/>
    </xf>
    <xf numFmtId="167" fontId="28" fillId="31" borderId="112" xfId="0" applyNumberFormat="1" applyFont="1" applyFill="1" applyBorder="1" applyAlignment="1">
      <alignment horizontal="center" vertical="center" wrapText="1"/>
    </xf>
    <xf numFmtId="167" fontId="28" fillId="31" borderId="85" xfId="0" applyNumberFormat="1" applyFont="1" applyFill="1" applyBorder="1" applyAlignment="1">
      <alignment horizontal="center" vertical="center" wrapText="1"/>
    </xf>
    <xf numFmtId="167" fontId="28" fillId="31" borderId="92" xfId="0" applyNumberFormat="1" applyFont="1" applyFill="1" applyBorder="1" applyAlignment="1">
      <alignment horizontal="center" vertical="center" wrapText="1"/>
    </xf>
    <xf numFmtId="0" fontId="28" fillId="31" borderId="93" xfId="0" applyFont="1" applyFill="1" applyBorder="1" applyAlignment="1">
      <alignment horizontal="center" vertical="center" wrapText="1"/>
    </xf>
    <xf numFmtId="0" fontId="28" fillId="31" borderId="84" xfId="0" applyFont="1" applyFill="1" applyBorder="1" applyAlignment="1">
      <alignment horizontal="center" vertical="center" wrapText="1"/>
    </xf>
    <xf numFmtId="0" fontId="28" fillId="31" borderId="87" xfId="0" applyFont="1" applyFill="1" applyBorder="1" applyAlignment="1">
      <alignment horizontal="center" vertical="center" wrapText="1"/>
    </xf>
    <xf numFmtId="0" fontId="28" fillId="31" borderId="116" xfId="0" applyFont="1" applyFill="1" applyBorder="1" applyAlignment="1">
      <alignment horizontal="center" vertical="center" wrapText="1"/>
    </xf>
    <xf numFmtId="0" fontId="28" fillId="31" borderId="63" xfId="0" applyFont="1" applyFill="1" applyBorder="1" applyAlignment="1">
      <alignment horizontal="center" vertical="center" wrapText="1"/>
    </xf>
    <xf numFmtId="0" fontId="28" fillId="31" borderId="91" xfId="0" applyFont="1" applyFill="1" applyBorder="1" applyAlignment="1">
      <alignment horizontal="center" vertical="center" wrapText="1"/>
    </xf>
    <xf numFmtId="0" fontId="28" fillId="26" borderId="112" xfId="0" applyFont="1" applyFill="1" applyBorder="1" applyAlignment="1">
      <alignment horizontal="center" vertical="center" wrapText="1"/>
    </xf>
    <xf numFmtId="0" fontId="28" fillId="26" borderId="85" xfId="0" applyFont="1" applyFill="1" applyBorder="1" applyAlignment="1">
      <alignment horizontal="center" vertical="center" wrapText="1"/>
    </xf>
    <xf numFmtId="0" fontId="28" fillId="26" borderId="92" xfId="0" applyFont="1" applyFill="1" applyBorder="1" applyAlignment="1">
      <alignment horizontal="center" vertical="center" wrapText="1"/>
    </xf>
    <xf numFmtId="0" fontId="28" fillId="32" borderId="112" xfId="0" applyFont="1" applyFill="1" applyBorder="1" applyAlignment="1">
      <alignment horizontal="center" vertical="center" wrapText="1"/>
    </xf>
    <xf numFmtId="0" fontId="28" fillId="32" borderId="85" xfId="0" applyFont="1" applyFill="1" applyBorder="1" applyAlignment="1">
      <alignment horizontal="center" vertical="center" wrapText="1"/>
    </xf>
    <xf numFmtId="0" fontId="28" fillId="32" borderId="92" xfId="0" applyFont="1" applyFill="1" applyBorder="1" applyAlignment="1">
      <alignment horizontal="center" vertical="center" wrapText="1"/>
    </xf>
    <xf numFmtId="0" fontId="51" fillId="16" borderId="22" xfId="0" applyFont="1" applyFill="1" applyBorder="1" applyAlignment="1">
      <alignment horizontal="center"/>
    </xf>
    <xf numFmtId="0" fontId="51" fillId="16" borderId="23" xfId="0" applyFont="1" applyFill="1" applyBorder="1" applyAlignment="1">
      <alignment horizontal="center"/>
    </xf>
  </cellXfs>
  <cellStyles count="103">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xfId="58" builtinId="3"/>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Millares 2" xfId="87"/>
    <cellStyle name="Millares 3" xfId="10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2 2" xfId="64"/>
    <cellStyle name="Normal 3 2 2 2 2" xfId="93"/>
    <cellStyle name="Normal 3 2 2 3" xfId="78"/>
    <cellStyle name="Normal 3 2 3" xfId="55"/>
    <cellStyle name="Normal 3 2 3 2" xfId="70"/>
    <cellStyle name="Normal 3 2 3 2 2" xfId="99"/>
    <cellStyle name="Normal 3 2 3 3" xfId="84"/>
    <cellStyle name="Normal 3 2 4" xfId="60"/>
    <cellStyle name="Normal 3 2 4 2" xfId="89"/>
    <cellStyle name="Normal 3 2 5" xfId="74"/>
    <cellStyle name="Normal 3 3" xfId="27"/>
    <cellStyle name="Normal 3 3 2" xfId="49"/>
    <cellStyle name="Normal 3 3 2 2" xfId="66"/>
    <cellStyle name="Normal 3 3 2 2 2" xfId="95"/>
    <cellStyle name="Normal 3 3 2 3" xfId="80"/>
    <cellStyle name="Normal 3 3 3" xfId="57"/>
    <cellStyle name="Normal 3 3 3 2" xfId="72"/>
    <cellStyle name="Normal 3 3 3 2 2" xfId="101"/>
    <cellStyle name="Normal 3 3 3 3" xfId="86"/>
    <cellStyle name="Normal 3 3 4" xfId="62"/>
    <cellStyle name="Normal 3 3 4 2" xfId="91"/>
    <cellStyle name="Normal 3 3 5" xfId="76"/>
    <cellStyle name="Normal 3 4" xfId="39"/>
    <cellStyle name="Normal 3 4 2" xfId="63"/>
    <cellStyle name="Normal 3 4 2 2" xfId="92"/>
    <cellStyle name="Normal 3 4 3" xfId="77"/>
    <cellStyle name="Normal 3 5" xfId="53"/>
    <cellStyle name="Normal 3 5 2" xfId="69"/>
    <cellStyle name="Normal 3 5 2 2" xfId="98"/>
    <cellStyle name="Normal 3 5 3" xfId="83"/>
    <cellStyle name="Normal 3 6" xfId="59"/>
    <cellStyle name="Normal 3 6 2" xfId="88"/>
    <cellStyle name="Normal 3 7" xfId="73"/>
    <cellStyle name="Normal 4" xfId="25"/>
    <cellStyle name="Normal 5" xfId="24"/>
    <cellStyle name="Normal 5 2" xfId="48"/>
    <cellStyle name="Normal 5 2 2" xfId="65"/>
    <cellStyle name="Normal 5 2 2 2" xfId="94"/>
    <cellStyle name="Normal 5 2 3" xfId="79"/>
    <cellStyle name="Normal 5 3" xfId="56"/>
    <cellStyle name="Normal 5 3 2" xfId="71"/>
    <cellStyle name="Normal 5 3 2 2" xfId="100"/>
    <cellStyle name="Normal 5 3 3" xfId="85"/>
    <cellStyle name="Normal 5 4" xfId="61"/>
    <cellStyle name="Normal 5 4 2" xfId="90"/>
    <cellStyle name="Normal 5 5" xfId="75"/>
    <cellStyle name="Normal 6" xfId="51"/>
    <cellStyle name="Normal 6 2" xfId="68"/>
    <cellStyle name="Normal 6 2 2" xfId="97"/>
    <cellStyle name="Normal 6 3" xfId="82"/>
    <cellStyle name="Normal 7" xfId="50"/>
    <cellStyle name="Normal 7 2" xfId="67"/>
    <cellStyle name="Normal 7 2 2" xfId="96"/>
    <cellStyle name="Normal 7 3" xfId="81"/>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785">
    <dxf>
      <fill>
        <patternFill>
          <bgColor theme="3" tint="0.799981688894314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color rgb="FFFF0000"/>
      </font>
    </dxf>
    <dxf>
      <font>
        <color rgb="FFFF0000"/>
      </font>
    </dxf>
    <dxf>
      <font>
        <color rgb="FFFF0000"/>
      </font>
    </dxf>
    <dxf>
      <font>
        <color rgb="FFFF0000"/>
      </font>
    </dxf>
    <dxf>
      <fill>
        <patternFill>
          <bgColor rgb="FFFFFF00"/>
        </patternFill>
      </fill>
    </dxf>
    <dxf>
      <font>
        <b/>
        <i val="0"/>
        <color rgb="FFC0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font>
    </dxf>
    <dxf>
      <font>
        <color rgb="FFFF0000"/>
      </font>
    </dxf>
    <dxf>
      <font>
        <color rgb="FFFF0000"/>
      </font>
    </dxf>
    <dxf>
      <font>
        <color rgb="FFFF0000"/>
      </font>
    </dxf>
    <dxf>
      <font>
        <color rgb="FFFF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vmlDrawing" Target="../drawings/vmlDrawing14.vml"/><Relationship Id="rId1" Type="http://schemas.openxmlformats.org/officeDocument/2006/relationships/printerSettings" Target="../printerSettings/printerSettings21.bin"/><Relationship Id="rId4"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vmlDrawing" Target="../drawings/vmlDrawing16.vml"/><Relationship Id="rId1" Type="http://schemas.openxmlformats.org/officeDocument/2006/relationships/printerSettings" Target="../printerSettings/printerSettings22.bin"/><Relationship Id="rId4" Type="http://schemas.openxmlformats.org/officeDocument/2006/relationships/comments" Target="../comments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6" width="11.42578125" customWidth="1"/>
    <col min="17" max="17" width="11.42578125" hidden="1" customWidth="1"/>
    <col min="18" max="18" width="14.28515625" hidden="1" customWidth="1"/>
    <col min="19" max="19" width="22.7109375" hidden="1" customWidth="1"/>
    <col min="20" max="20" width="0" hidden="1" customWidth="1"/>
  </cols>
  <sheetData>
    <row r="1" spans="1:19" ht="119.25" customHeight="1"/>
    <row r="2" spans="1:19" ht="13.5" thickBot="1">
      <c r="Q2" t="s">
        <v>229</v>
      </c>
    </row>
    <row r="3" spans="1:19" ht="23.25" thickBot="1">
      <c r="A3" s="1467" t="s">
        <v>100</v>
      </c>
      <c r="B3" s="1468"/>
      <c r="C3" s="1468"/>
      <c r="D3" s="1469"/>
      <c r="E3" s="365"/>
      <c r="F3" s="2"/>
      <c r="Q3" s="345">
        <v>1</v>
      </c>
      <c r="R3" s="345">
        <v>3</v>
      </c>
      <c r="S3" t="b">
        <f>AND(Q3&gt;=TrimIni,Q3&lt;=TrimFin)</f>
        <v>1</v>
      </c>
    </row>
    <row r="4" spans="1:19" ht="22.5" customHeight="1" thickBot="1">
      <c r="A4" s="366" t="s">
        <v>1019</v>
      </c>
      <c r="B4" s="365"/>
      <c r="C4" s="365"/>
      <c r="D4" s="365"/>
      <c r="E4" s="365"/>
      <c r="F4" s="2"/>
      <c r="Q4" s="345">
        <v>2</v>
      </c>
      <c r="R4" s="345">
        <v>3</v>
      </c>
      <c r="S4" t="b">
        <f>AND(Q4&gt;=TrimIni,Q4&lt;=TrimFin)</f>
        <v>0</v>
      </c>
    </row>
    <row r="5" spans="1:19" ht="15.75" thickBot="1">
      <c r="A5" s="367" t="s">
        <v>37</v>
      </c>
      <c r="B5" s="368">
        <v>2026</v>
      </c>
      <c r="C5" s="369" t="s">
        <v>216</v>
      </c>
      <c r="D5" s="370">
        <v>1</v>
      </c>
      <c r="E5" s="371"/>
      <c r="F5" s="3"/>
      <c r="H5" t="s">
        <v>425</v>
      </c>
      <c r="Q5" s="345">
        <v>3</v>
      </c>
      <c r="R5" s="345">
        <v>2</v>
      </c>
      <c r="S5" t="b">
        <f>AND(Q5&gt;=TrimIni,Q5&lt;=TrimFin)</f>
        <v>0</v>
      </c>
    </row>
    <row r="6" spans="1:19" ht="15">
      <c r="A6" s="372"/>
      <c r="B6" s="371"/>
      <c r="C6" s="369" t="s">
        <v>217</v>
      </c>
      <c r="D6" s="370">
        <v>1</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1020</v>
      </c>
      <c r="B9" s="374" t="s">
        <v>1021</v>
      </c>
      <c r="C9" s="371"/>
      <c r="D9" s="371"/>
      <c r="E9" s="380"/>
      <c r="F9" s="3"/>
    </row>
    <row r="10" spans="1:19">
      <c r="A10" s="379" t="s">
        <v>1022</v>
      </c>
      <c r="B10" s="371" t="s">
        <v>1023</v>
      </c>
      <c r="C10" s="371"/>
      <c r="D10" s="371"/>
      <c r="E10" s="380"/>
      <c r="F10" s="3"/>
      <c r="Q10" s="345">
        <v>0</v>
      </c>
    </row>
    <row r="11" spans="1:19" ht="13.5" thickBot="1">
      <c r="A11" s="381" t="s">
        <v>1024</v>
      </c>
      <c r="B11" s="382" t="s">
        <v>1025</v>
      </c>
      <c r="C11" s="382"/>
      <c r="D11" s="382"/>
      <c r="E11" s="383"/>
      <c r="F11" s="3"/>
    </row>
    <row r="12" spans="1:19" ht="40.5" customHeight="1" thickBot="1">
      <c r="A12" s="373"/>
      <c r="B12" s="371"/>
      <c r="C12" s="371"/>
      <c r="D12" s="371"/>
      <c r="E12" s="371"/>
      <c r="F12" s="3"/>
      <c r="Q12" s="1100"/>
    </row>
    <row r="13" spans="1:19" ht="15">
      <c r="A13" s="384" t="s">
        <v>126</v>
      </c>
      <c r="B13" s="385" t="s">
        <v>55</v>
      </c>
      <c r="C13" s="787" t="s">
        <v>720</v>
      </c>
      <c r="D13" s="371" t="s">
        <v>55</v>
      </c>
      <c r="E13" s="371"/>
      <c r="F13" s="3"/>
    </row>
    <row r="14" spans="1:19" ht="15">
      <c r="A14" s="386" t="s">
        <v>90</v>
      </c>
      <c r="B14" s="387" t="s">
        <v>129</v>
      </c>
      <c r="C14" s="371"/>
      <c r="D14" s="371"/>
      <c r="E14" s="371"/>
      <c r="F14" s="3"/>
      <c r="Q14" s="1439">
        <f>DATE(B5,D6*3+1,0)+547</f>
        <v>46659</v>
      </c>
    </row>
    <row r="15" spans="1:19" ht="13.5" thickBot="1">
      <c r="A15" s="260"/>
      <c r="B15" s="4"/>
      <c r="C15" s="4"/>
      <c r="D15" s="4"/>
      <c r="E15" s="4"/>
      <c r="F15" s="5"/>
    </row>
    <row r="16" spans="1:19" ht="23.25">
      <c r="A16" s="68"/>
    </row>
  </sheetData>
  <sheetProtection algorithmName="SHA-512" hashValue="XqCAKI27oQL/W/XkuJdR1rx64hrfo7odSNPoZMR4BBWMR1s99LVNdJ4CzOUmY7AnWb0tmbR1lcUje7yvVUJgxQ==" saltValue="yAw156dLoEBo/w0VwfxZSA==" spinCount="100000" sheet="1" objects="1" scenarios="1"/>
  <mergeCells count="1">
    <mergeCell ref="A3:D3"/>
  </mergeCells>
  <phoneticPr fontId="0" type="noConversion"/>
  <dataValidations disablePrompts="1"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40"/>
  <sheetViews>
    <sheetView topLeftCell="A7" zoomScale="82" zoomScaleNormal="82" workbookViewId="0">
      <selection activeCell="B26" sqref="B26"/>
    </sheetView>
  </sheetViews>
  <sheetFormatPr baseColWidth="10" defaultColWidth="11.42578125" defaultRowHeight="12.75"/>
  <cols>
    <col min="1" max="1" width="9.42578125" style="1022" customWidth="1"/>
    <col min="2" max="2" width="41.42578125" style="470" customWidth="1"/>
    <col min="3" max="3" width="18.85546875" style="1021" hidden="1" customWidth="1"/>
    <col min="4" max="4" width="13.5703125" style="1021" hidden="1" customWidth="1"/>
    <col min="5" max="5" width="13.42578125" style="1021" hidden="1" customWidth="1"/>
    <col min="6" max="7" width="12" style="1021" hidden="1" customWidth="1"/>
    <col min="8" max="8" width="12.5703125" style="1021" hidden="1" customWidth="1"/>
    <col min="9" max="9" width="13.42578125" style="1021" hidden="1" customWidth="1"/>
    <col min="10" max="10" width="13" style="1021" hidden="1" customWidth="1"/>
    <col min="11" max="13" width="14.5703125" style="1021" hidden="1" customWidth="1"/>
    <col min="14" max="15" width="14.28515625" style="1021" customWidth="1"/>
    <col min="16" max="16" width="12.28515625" style="1021" hidden="1" customWidth="1"/>
    <col min="17" max="17" width="14.28515625" style="1021" customWidth="1"/>
    <col min="18" max="18" width="0" style="1021" hidden="1" customWidth="1"/>
    <col min="19" max="23" width="14.28515625" style="1021" customWidth="1"/>
    <col min="24" max="24" width="12.7109375" style="1021" customWidth="1"/>
    <col min="25" max="25" width="13" style="1021" customWidth="1"/>
    <col min="26" max="27" width="12.5703125" style="1021" customWidth="1"/>
    <col min="28" max="28" width="12.7109375" style="1021" customWidth="1"/>
    <col min="29" max="30" width="13" style="1021" customWidth="1"/>
    <col min="31" max="31" width="11.42578125" style="1021" hidden="1" customWidth="1"/>
    <col min="32" max="35" width="11.42578125" style="1021"/>
    <col min="36" max="77" width="11.42578125" style="1021" customWidth="1"/>
    <col min="78" max="78" width="0" style="1021" hidden="1" customWidth="1"/>
    <col min="79" max="16384" width="11.42578125" style="1021"/>
  </cols>
  <sheetData>
    <row r="1" spans="1:78" ht="108" customHeight="1">
      <c r="A1" s="1021"/>
    </row>
    <row r="2" spans="1:78">
      <c r="B2" s="493"/>
      <c r="E2" s="1023"/>
    </row>
    <row r="3" spans="1:78" s="470" customFormat="1" ht="13.5" thickBot="1">
      <c r="A3" s="486"/>
      <c r="B3" s="487" t="s">
        <v>356</v>
      </c>
      <c r="E3" s="493"/>
    </row>
    <row r="4" spans="1:78" s="470" customFormat="1" ht="15.75" thickBot="1">
      <c r="A4" s="1080" t="s">
        <v>361</v>
      </c>
      <c r="B4" s="1091" t="str">
        <f>Criterios!B9</f>
        <v>ANDALUCIA</v>
      </c>
      <c r="C4" s="1081"/>
      <c r="D4" s="1081"/>
      <c r="E4" s="1082"/>
      <c r="F4" s="1081"/>
      <c r="G4" s="542"/>
      <c r="H4" s="1628" t="s">
        <v>362</v>
      </c>
      <c r="I4" s="1629"/>
      <c r="J4" s="1629"/>
      <c r="K4" s="1629"/>
      <c r="L4" s="1629"/>
      <c r="M4" s="1083"/>
      <c r="N4" s="1628" t="s">
        <v>363</v>
      </c>
      <c r="O4" s="1629"/>
      <c r="P4" s="1629"/>
      <c r="Q4" s="1629"/>
      <c r="R4" s="1629"/>
      <c r="S4" s="1629"/>
      <c r="T4" s="1629"/>
      <c r="U4" s="1629"/>
      <c r="V4" s="1629"/>
      <c r="W4" s="1629"/>
      <c r="X4" s="1629"/>
      <c r="Y4" s="1629"/>
      <c r="Z4" s="1629"/>
      <c r="AA4" s="1629"/>
      <c r="AB4" s="1629"/>
      <c r="AC4" s="1629"/>
      <c r="AD4" s="1630"/>
    </row>
    <row r="5" spans="1:78" s="470" customFormat="1" ht="15.75" customHeight="1">
      <c r="A5" s="1612" t="s">
        <v>352</v>
      </c>
      <c r="B5" s="1614" t="str">
        <f>"Año:  " &amp;Criterios!B5 &amp; "      Trimestre   " &amp;Criterios!D5 &amp; " al " &amp;Criterios!D6</f>
        <v>Año:  2026      Trimestre   1 al 1</v>
      </c>
      <c r="C5" s="1602" t="s">
        <v>262</v>
      </c>
      <c r="D5" s="1604" t="s">
        <v>130</v>
      </c>
      <c r="E5" s="1604" t="s">
        <v>92</v>
      </c>
      <c r="F5" s="1608" t="s">
        <v>9</v>
      </c>
      <c r="G5" s="1607"/>
      <c r="H5" s="1631" t="s">
        <v>357</v>
      </c>
      <c r="I5" s="1610" t="s">
        <v>359</v>
      </c>
      <c r="J5" s="1631" t="s">
        <v>358</v>
      </c>
      <c r="K5" s="1606" t="s">
        <v>303</v>
      </c>
      <c r="L5" s="1606" t="s">
        <v>360</v>
      </c>
      <c r="M5" s="1606" t="s">
        <v>354</v>
      </c>
      <c r="N5" s="1618"/>
      <c r="O5" s="1619"/>
      <c r="Q5" s="1622" t="s">
        <v>453</v>
      </c>
      <c r="R5" s="1623"/>
      <c r="S5" s="1624"/>
      <c r="T5" s="1622"/>
      <c r="U5" s="1623"/>
      <c r="V5" s="1624"/>
      <c r="W5" s="1622" t="s">
        <v>273</v>
      </c>
      <c r="X5" s="1623"/>
      <c r="Y5" s="1623"/>
      <c r="Z5" s="1624"/>
      <c r="AA5" s="1622" t="s">
        <v>448</v>
      </c>
      <c r="AB5" s="1623"/>
      <c r="AC5" s="1623"/>
      <c r="AD5" s="1624"/>
    </row>
    <row r="6" spans="1:78" s="470" customFormat="1" ht="21.75" customHeight="1" thickBot="1">
      <c r="A6" s="1613"/>
      <c r="B6" s="1615"/>
      <c r="C6" s="1603"/>
      <c r="D6" s="1605"/>
      <c r="E6" s="1605"/>
      <c r="F6" s="1609"/>
      <c r="G6" s="1607"/>
      <c r="H6" s="1632"/>
      <c r="I6" s="1611"/>
      <c r="J6" s="1632"/>
      <c r="K6" s="1607"/>
      <c r="L6" s="1607"/>
      <c r="M6" s="1607"/>
      <c r="N6" s="1620"/>
      <c r="O6" s="1621"/>
      <c r="P6" s="1084"/>
      <c r="Q6" s="1625"/>
      <c r="R6" s="1626"/>
      <c r="S6" s="1627"/>
      <c r="T6" s="1625"/>
      <c r="U6" s="1626"/>
      <c r="V6" s="1627"/>
      <c r="W6" s="1625"/>
      <c r="X6" s="1626"/>
      <c r="Y6" s="1626"/>
      <c r="Z6" s="1627"/>
      <c r="AA6" s="1625"/>
      <c r="AB6" s="1626"/>
      <c r="AC6" s="1626"/>
      <c r="AD6" s="1627"/>
    </row>
    <row r="7" spans="1:78" s="470" customFormat="1" ht="84" customHeight="1">
      <c r="A7" s="1613"/>
      <c r="B7" s="1085" t="str">
        <f>Datos!A7</f>
        <v>COMPETENCIAS</v>
      </c>
      <c r="C7" s="1603"/>
      <c r="D7" s="1605"/>
      <c r="E7" s="1605"/>
      <c r="F7" s="1609"/>
      <c r="G7" s="1607"/>
      <c r="H7" s="1632"/>
      <c r="I7" s="1611"/>
      <c r="J7" s="1632"/>
      <c r="K7" s="1607"/>
      <c r="L7" s="1607"/>
      <c r="M7" s="1633"/>
      <c r="N7" s="1086" t="s">
        <v>230</v>
      </c>
      <c r="O7" s="1086" t="s">
        <v>394</v>
      </c>
      <c r="P7" s="1087" t="s">
        <v>395</v>
      </c>
      <c r="Q7" s="1088" t="s">
        <v>396</v>
      </c>
      <c r="R7" s="1087" t="s">
        <v>387</v>
      </c>
      <c r="S7" s="1088" t="s">
        <v>784</v>
      </c>
      <c r="T7" s="1140" t="s">
        <v>785</v>
      </c>
      <c r="U7" s="1140" t="s">
        <v>786</v>
      </c>
      <c r="V7" s="1140" t="s">
        <v>787</v>
      </c>
      <c r="W7" s="1086" t="s">
        <v>449</v>
      </c>
      <c r="X7" s="1154" t="s">
        <v>801</v>
      </c>
      <c r="Y7" s="1154" t="s">
        <v>802</v>
      </c>
      <c r="Z7" s="1155" t="s">
        <v>803</v>
      </c>
      <c r="AA7" s="1089" t="s">
        <v>449</v>
      </c>
      <c r="AB7" s="1154" t="s">
        <v>450</v>
      </c>
      <c r="AC7" s="1154" t="s">
        <v>804</v>
      </c>
      <c r="AD7" s="1155" t="s">
        <v>805</v>
      </c>
      <c r="AE7" s="1090" t="s">
        <v>783</v>
      </c>
    </row>
    <row r="8" spans="1:78" ht="15">
      <c r="A8" s="1616" t="str">
        <f>Datos!A8</f>
        <v>Jurisdicción Civil ( 1 ):</v>
      </c>
      <c r="B8" s="1617"/>
      <c r="C8" s="1028"/>
      <c r="D8" s="1028"/>
      <c r="E8" s="1029"/>
      <c r="F8" s="1029"/>
      <c r="G8" s="1029"/>
      <c r="H8" s="1030"/>
      <c r="I8" s="1028"/>
      <c r="J8" s="1030"/>
      <c r="K8" s="1031"/>
      <c r="L8" s="1031"/>
      <c r="M8" s="265"/>
      <c r="N8" s="1031"/>
      <c r="O8" s="1031"/>
      <c r="P8" s="1032"/>
      <c r="Q8" s="1033"/>
      <c r="R8" s="1032"/>
      <c r="S8" s="1033"/>
      <c r="T8" s="1034"/>
      <c r="U8" s="1034"/>
      <c r="V8" s="1036"/>
      <c r="W8" s="1034"/>
      <c r="X8" s="1035"/>
      <c r="Y8" s="1035"/>
      <c r="Z8" s="1036"/>
      <c r="AA8" s="1037"/>
      <c r="AB8" s="1035"/>
      <c r="AC8" s="1035"/>
      <c r="AD8" s="1035"/>
      <c r="AE8" s="1036"/>
    </row>
    <row r="9" spans="1:78" ht="15">
      <c r="A9" s="1038">
        <f>ABS(Datos!AO9)</f>
        <v>0</v>
      </c>
      <c r="B9" s="501" t="str">
        <f>Datos!A9</f>
        <v>Sección Civil del T.I</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29" t="str">
        <f>IF(Datos!E9&lt;&gt;"",Datos!E9,Datos!D9)</f>
        <v>01</v>
      </c>
      <c r="H9" s="226" t="str">
        <f>IF(ISNUMBER(IF(J_V="SI",Datos!L9,Datos!L9+Datos!AB9)-IF(Monitorios="SI",Datos!CD9,0)),
                          IF(J_V="SI",Datos!L9,Datos!L9+Datos!AB9)-IF(Monitorios="SI",Datos!CD9,0),
                          " - ")</f>
        <v xml:space="preserve"> - </v>
      </c>
      <c r="I9" s="1039" t="str">
        <f>IF(ISNUMBER(Datos!AS9/Datos!BM9),Datos!AS9/Datos!BM9," - ")</f>
        <v xml:space="preserve"> - </v>
      </c>
      <c r="J9" s="1040">
        <f>IF(ISNUMBER(Datos!BY9/Datos!CN9),Datos!BY9/Datos!CN9," - ")</f>
        <v>0</v>
      </c>
      <c r="K9" s="229" t="str">
        <f>IF(ISNUMBER((E9-F9)/C9),(E9-F9)/C9," - ")</f>
        <v xml:space="preserve"> - </v>
      </c>
      <c r="L9" s="1020" t="str">
        <f>IF(ISNUMBER(NºAsuntos!I9/NºAsuntos!G9),(NºAsuntos!I9/NºAsuntos!G9)*11," - ")</f>
        <v xml:space="preserve"> - </v>
      </c>
      <c r="M9" s="227" t="str">
        <f>IF(ISNUMBER(Datos!CL9),Datos!CL9," - ")</f>
        <v xml:space="preserve"> - </v>
      </c>
      <c r="N9" s="479">
        <f>Datos!CU9</f>
        <v>0</v>
      </c>
      <c r="O9" s="1030">
        <f>Datos!CT9</f>
        <v>0</v>
      </c>
      <c r="P9" s="1041"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5"/>
      <c r="V9" s="1149"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1">
        <v>0</v>
      </c>
      <c r="BZ9" s="1181">
        <f>Datos!EZ9</f>
        <v>0</v>
      </c>
    </row>
    <row r="10" spans="1:78" ht="15">
      <c r="A10" s="1038">
        <f>ABS(Datos!AO10)</f>
        <v>1</v>
      </c>
      <c r="B10" s="501" t="str">
        <f>Datos!A10</f>
        <v>Sección De Violencia sobre la Mujer del TI</v>
      </c>
      <c r="C10" s="224">
        <f t="shared" si="0"/>
        <v>0</v>
      </c>
      <c r="D10" s="224">
        <f>IF(ISNUMBER(Datos!I10),Datos!I10," - ")</f>
        <v>0</v>
      </c>
      <c r="E10" s="225">
        <f>IF(ISNUMBER(Datos!J10),Datos!J10," - ")</f>
        <v>0</v>
      </c>
      <c r="F10" s="225">
        <f>IF(ISNUMBER(Datos!K10),Datos!K10," - ")</f>
        <v>0</v>
      </c>
      <c r="G10" s="1029" t="str">
        <f>IF(Datos!E10&lt;&gt;"",Datos!E10,Datos!D10)</f>
        <v>37</v>
      </c>
      <c r="H10" s="226">
        <f>IF(ISNUMBER(Datos!L10),Datos!L10," - ")</f>
        <v>0</v>
      </c>
      <c r="I10" s="1039" t="str">
        <f>IF(ISNUMBER(Datos!AS10/Datos!BM10),Datos!AS10/Datos!BM10," - ")</f>
        <v xml:space="preserve"> - </v>
      </c>
      <c r="J10" s="1040">
        <f>IF(ISNUMBER(Datos!BY10/Datos!CN10),Datos!BY10/Datos!CN10," - ")</f>
        <v>0</v>
      </c>
      <c r="K10" s="229" t="str">
        <f t="shared" ref="K10:K12" si="1">IF(ISNUMBER((E10-F10)/C10),(E10-F10)/C10," - ")</f>
        <v xml:space="preserve"> - </v>
      </c>
      <c r="L10" s="1020" t="str">
        <f>IF(ISNUMBER(NºAsuntos!I10/NºAsuntos!G10),(NºAsuntos!I10/NºAsuntos!G10)*11," - ")</f>
        <v xml:space="preserve"> - </v>
      </c>
      <c r="M10" s="227" t="str">
        <f>IF(ISNUMBER(Datos!CL10),Datos!CL10," - ")</f>
        <v xml:space="preserve"> - </v>
      </c>
      <c r="N10" s="479">
        <f>Datos!CU10</f>
        <v>0</v>
      </c>
      <c r="O10" s="1030">
        <f>Datos!CT10</f>
        <v>0</v>
      </c>
      <c r="P10" s="1041"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5"/>
      <c r="V10" s="1149"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1">
        <v>0</v>
      </c>
      <c r="BZ10" s="1181">
        <f>Datos!EZ10</f>
        <v>0</v>
      </c>
    </row>
    <row r="11" spans="1:78" ht="15">
      <c r="A11" s="1038">
        <f>ABS(Datos!AO11)</f>
        <v>0</v>
      </c>
      <c r="B11" s="501" t="str">
        <f>Datos!A11</f>
        <v xml:space="preserve">Sección de Familia, infancia e incapacidad del TI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29" t="str">
        <f>IF(Datos!E11&lt;&gt;"",Datos!E11,Datos!D11)</f>
        <v>02</v>
      </c>
      <c r="H11" s="226" t="str">
        <f>IF(ISNUMBER(IF(J_V="SI",Datos!L11,Datos!L11+Datos!AB11)-IF(Monitorios="SI",Datos!CD11,0)),
                          IF(J_V="SI",Datos!L11,Datos!L11+Datos!AB11)-IF(Monitorios="SI",Datos!CD11,0),
                          " - ")</f>
        <v xml:space="preserve"> - </v>
      </c>
      <c r="I11" s="1039" t="str">
        <f>IF(ISNUMBER(Datos!AS11/Datos!BM11),Datos!AS11/Datos!BM11," - ")</f>
        <v xml:space="preserve"> - </v>
      </c>
      <c r="J11" s="1040">
        <f>IF(ISNUMBER(Datos!BY11/Datos!CN11),Datos!BY11/Datos!CN11," - ")</f>
        <v>0</v>
      </c>
      <c r="K11" s="229" t="str">
        <f t="shared" si="1"/>
        <v xml:space="preserve"> - </v>
      </c>
      <c r="L11" s="1020" t="str">
        <f>IF(ISNUMBER(NºAsuntos!I11/NºAsuntos!G11),(NºAsuntos!I11/NºAsuntos!G11)*11," - ")</f>
        <v xml:space="preserve"> - </v>
      </c>
      <c r="M11" s="227" t="str">
        <f>IF(ISNUMBER(Datos!CL11),Datos!CL11," - ")</f>
        <v xml:space="preserve"> - </v>
      </c>
      <c r="N11" s="479">
        <f>Datos!CU11</f>
        <v>0</v>
      </c>
      <c r="O11" s="1030">
        <f>Datos!CT11</f>
        <v>0</v>
      </c>
      <c r="P11" s="1041"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5"/>
      <c r="V11" s="1149"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1">
        <v>0</v>
      </c>
      <c r="BZ11" s="1181">
        <f>Datos!EZ11</f>
        <v>0</v>
      </c>
    </row>
    <row r="12" spans="1:78" ht="15">
      <c r="A12" s="1038">
        <f>ABS(Datos!AO12)</f>
        <v>3</v>
      </c>
      <c r="B12" s="501" t="str">
        <f>Datos!A12</f>
        <v xml:space="preserve">Sección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29" t="str">
        <f>IF(Datos!E12&lt;&gt;"",Datos!E12,Datos!D12)</f>
        <v>04</v>
      </c>
      <c r="H12" s="226" t="str">
        <f>IF(ISNUMBER(IF(J_V="SI",Datos!L12,Datos!L12+Datos!AB12)-IF(Monitorios="SI",Datos!CD12,0)),
                          IF(J_V="SI",Datos!L12,Datos!L12+Datos!AB12)-IF(Monitorios="SI",Datos!CD12,0),
                          " - ")</f>
        <v xml:space="preserve"> - </v>
      </c>
      <c r="I12" s="1039" t="str">
        <f>IF(ISNUMBER(Datos!AS12/Datos!BM12),Datos!AS12/Datos!BM12," - ")</f>
        <v xml:space="preserve"> - </v>
      </c>
      <c r="J12" s="1040">
        <f>IF(ISNUMBER(Datos!BY12/Datos!CN12),Datos!BY12/Datos!CN12," - ")</f>
        <v>0</v>
      </c>
      <c r="K12" s="229" t="str">
        <f t="shared" si="1"/>
        <v xml:space="preserve"> - </v>
      </c>
      <c r="L12" s="1020">
        <f>IF(ISNUMBER(NºAsuntos!I12/NºAsuntos!G12),(NºAsuntos!I12/NºAsuntos!G12)*11," - ")</f>
        <v>28.898894154818322</v>
      </c>
      <c r="M12" s="227" t="str">
        <f>IF(ISNUMBER(Datos!CL12),Datos!CL12," - ")</f>
        <v xml:space="preserve"> - </v>
      </c>
      <c r="N12" s="479">
        <f>Datos!CU12</f>
        <v>0</v>
      </c>
      <c r="O12" s="1030">
        <f>Datos!CT12</f>
        <v>0</v>
      </c>
      <c r="P12" s="1041"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5"/>
      <c r="V12" s="1149"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1">
        <v>0</v>
      </c>
      <c r="BZ12" s="1181">
        <f>Datos!EZ12</f>
        <v>0</v>
      </c>
    </row>
    <row r="13" spans="1:78" ht="15">
      <c r="A13" s="1043"/>
      <c r="B13" s="1092" t="str">
        <f>Datos!A13</f>
        <v>TOTAL</v>
      </c>
      <c r="C13" s="1044">
        <f>SUBTOTAL(9,C9:C12)</f>
        <v>0</v>
      </c>
      <c r="D13" s="1044">
        <f>SUBTOTAL(9,D9:D12)</f>
        <v>0</v>
      </c>
      <c r="E13" s="1045">
        <f>SUBTOTAL(9,E9:E12)</f>
        <v>0</v>
      </c>
      <c r="F13" s="1046">
        <f>SUBTOTAL(9,F9:F12)</f>
        <v>0</v>
      </c>
      <c r="G13" s="1047" t="str">
        <f ca="1">INDIRECT(CONCATENATE("G",ROW()-1))</f>
        <v>04</v>
      </c>
      <c r="H13" s="1048">
        <f ca="1">SUMIF(G$8:G12,G13,H$8:H12)</f>
        <v>0</v>
      </c>
      <c r="I13" s="1049"/>
      <c r="J13" s="1050"/>
      <c r="K13" s="1051"/>
      <c r="L13" s="1052"/>
      <c r="M13" s="1048">
        <f ca="1">SUMIF(G$8:G12,G13,M$8:M12)</f>
        <v>0</v>
      </c>
      <c r="N13" s="1052"/>
      <c r="O13" s="1048"/>
      <c r="P13" s="1053">
        <f ca="1">SUMIF(G$8:G12,G13,P$8:P12)</f>
        <v>0</v>
      </c>
      <c r="Q13" s="1054">
        <f ca="1">SUMIF(G$8:G12,G13,Q$8:Q12)</f>
        <v>0</v>
      </c>
      <c r="R13" s="1053">
        <f ca="1">SUMIF(G$8:G12,G13,R$8:R12)</f>
        <v>0</v>
      </c>
      <c r="S13" s="1055">
        <f ca="1">SUMIF(G$8:G12,G13,S$8:S12)</f>
        <v>0</v>
      </c>
      <c r="T13" s="1047"/>
      <c r="U13" s="1146"/>
      <c r="V13" s="1144">
        <f ca="1">SUMIF(G$8:G12,G13,V$8:V12)</f>
        <v>0</v>
      </c>
      <c r="W13" s="1056">
        <f ca="1">SUMIF($G$8:$G12,$G13,W$8:W12)</f>
        <v>0</v>
      </c>
      <c r="X13" s="1056">
        <f ca="1">SUMIF($G$8:$G12,$G13,X$8:X12)</f>
        <v>0</v>
      </c>
      <c r="Y13" s="1056">
        <f ca="1">SUMIF($G$8:$G12,$G13,Y$8:Y12)</f>
        <v>0</v>
      </c>
      <c r="Z13" s="1047">
        <f ca="1">SUMIF($G$8:$G12,$G13,Z$8:Z12)</f>
        <v>0</v>
      </c>
      <c r="AA13" s="1057">
        <f ca="1">SUMIF($G$8:$G12,$G13,AA$8:AA12)</f>
        <v>0</v>
      </c>
      <c r="AB13" s="1056">
        <f ca="1">SUMIF($G$8:$G12,$G13,AB$8:AB12)</f>
        <v>0</v>
      </c>
      <c r="AC13" s="1056">
        <f ca="1">SUMIF($G$8:$G12,$G13,AC$8:AC12)</f>
        <v>0</v>
      </c>
      <c r="AD13" s="1058">
        <f ca="1">SUMIF($G$8:$G12,$G13,AD$8:AD12)</f>
        <v>0</v>
      </c>
      <c r="AE13" s="1141"/>
      <c r="BZ13" s="1181"/>
    </row>
    <row r="14" spans="1:78" ht="15">
      <c r="A14" s="1616" t="str">
        <f>Datos!A14</f>
        <v xml:space="preserve">Jurisdicción Penal ( 2 ):                      </v>
      </c>
      <c r="B14" s="1617"/>
      <c r="C14" s="332"/>
      <c r="D14" s="332"/>
      <c r="E14" s="1059"/>
      <c r="F14" s="1059"/>
      <c r="G14" s="1059"/>
      <c r="H14" s="227"/>
      <c r="I14" s="332"/>
      <c r="J14" s="227"/>
      <c r="K14" s="229"/>
      <c r="L14" s="229"/>
      <c r="M14" s="227"/>
      <c r="N14" s="229"/>
      <c r="O14" s="1060"/>
      <c r="P14" s="1061"/>
      <c r="Q14" s="1062"/>
      <c r="R14" s="1063"/>
      <c r="S14" s="1060"/>
      <c r="T14" s="1029"/>
      <c r="U14" s="1147"/>
      <c r="V14" s="1141"/>
      <c r="W14" s="1064"/>
      <c r="X14" s="1035"/>
      <c r="Y14" s="1035"/>
      <c r="Z14" s="1036"/>
      <c r="AA14" s="563"/>
      <c r="AB14" s="563"/>
      <c r="AC14" s="563"/>
      <c r="AD14" s="1042"/>
      <c r="AE14" s="1141"/>
      <c r="BZ14" s="1181"/>
    </row>
    <row r="15" spans="1:78" ht="15">
      <c r="A15" s="1038">
        <f>ABS(Datos!AO15)</f>
        <v>0</v>
      </c>
      <c r="B15" s="501" t="str">
        <f>Datos!A15</f>
        <v xml:space="preserve">Seccion Instruccion Del T.I.                   </v>
      </c>
      <c r="C15" s="224" t="str">
        <f t="shared" ref="C15:C18"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29" t="str">
        <f>IF(Datos!E15&lt;&gt;"",Datos!E15,Datos!D15)</f>
        <v>03</v>
      </c>
      <c r="H15" s="226" t="str">
        <f>IF(ISNUMBER(IF(D_I="SI",Datos!L15,Datos!L15+Datos!AF15)),IF(D_I="SI",Datos!L15,Datos!L15+Datos!AF15)," - ")</f>
        <v xml:space="preserve"> - </v>
      </c>
      <c r="I15" s="1039" t="str">
        <f>IF(ISNUMBER(Datos!AS15/Datos!BM15),Datos!AS15/Datos!BM15," - ")</f>
        <v xml:space="preserve"> - </v>
      </c>
      <c r="J15" s="1040">
        <f>IF(ISNUMBER(Datos!BY15/Datos!CN15),Datos!BY15/Datos!CN15," - ")</f>
        <v>0</v>
      </c>
      <c r="K15" s="229" t="str">
        <f t="shared" ref="K15:K18" si="3">IF(ISNUMBER((E15-F15)/C15),(E15-F15)/C15," - ")</f>
        <v xml:space="preserve"> - </v>
      </c>
      <c r="L15" s="1020" t="str">
        <f>IF(ISNUMBER(NºAsuntos!I15/NºAsuntos!G15),(NºAsuntos!I15/NºAsuntos!G15)*11," - ")</f>
        <v xml:space="preserve"> - </v>
      </c>
      <c r="M15" s="227" t="str">
        <f>IF(ISNUMBER(Datos!CL15),Datos!CL15," - ")</f>
        <v xml:space="preserve"> - </v>
      </c>
      <c r="N15" s="479">
        <f>Datos!CU15</f>
        <v>0</v>
      </c>
      <c r="O15" s="1030">
        <f>Datos!CT15</f>
        <v>0</v>
      </c>
      <c r="P15" s="1041"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5"/>
      <c r="V15" s="1149"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1">
        <v>0</v>
      </c>
      <c r="BZ15" s="1181">
        <f>Datos!EZ15</f>
        <v>0</v>
      </c>
    </row>
    <row r="16" spans="1:78" ht="15">
      <c r="A16" s="1038">
        <f>ABS(Datos!AO16)</f>
        <v>0</v>
      </c>
      <c r="B16" s="1276" t="str">
        <f>Datos!A16</f>
        <v>Seccion Violencia contra la inf y adol.</v>
      </c>
      <c r="C16" s="1214" t="str">
        <f t="shared" ref="C16" si="4">IF(ISNUMBER(H16-E16+F16),H16-E16+F16," - ")</f>
        <v xml:space="preserve"> - </v>
      </c>
      <c r="D16" s="1214" t="str">
        <f>IF(ISNUMBER(IF(D_I="SI",Datos!I16,Datos!I16+Datos!AC16)),IF(D_I="SI",Datos!I16,Datos!I16+Datos!AC16)," - ")</f>
        <v xml:space="preserve"> - </v>
      </c>
      <c r="E16" s="1215" t="str">
        <f>IF(ISNUMBER(IF(D_I="SI",Datos!J16,Datos!J16+Datos!AD16)),IF(D_I="SI",Datos!J16,Datos!J16+Datos!AD16)," - ")</f>
        <v xml:space="preserve"> - </v>
      </c>
      <c r="F16" s="1215" t="str">
        <f>IF(ISNUMBER(IF(D_I="SI",Datos!K16,Datos!K16+Datos!AE16)),IF(D_I="SI",Datos!K16,Datos!K16+Datos!AE16)," - ")</f>
        <v xml:space="preserve"> - </v>
      </c>
      <c r="G16" s="1029" t="str">
        <f>IF(Datos!E16&lt;&gt;"",Datos!E16,Datos!D16)</f>
        <v>60</v>
      </c>
      <c r="H16" s="1216" t="str">
        <f>IF(ISNUMBER(IF(D_I="SI",Datos!L16,Datos!L16+Datos!AF16)),IF(D_I="SI",Datos!L16,Datos!L16+Datos!AF16)," - ")</f>
        <v xml:space="preserve"> - </v>
      </c>
      <c r="I16" s="1039" t="str">
        <f>IF(ISNUMBER(Datos!AS16/Datos!BM16),Datos!AS16/Datos!BM16," - ")</f>
        <v xml:space="preserve"> - </v>
      </c>
      <c r="J16" s="1040">
        <f>IF(ISNUMBER(Datos!BY16/Datos!CN16),Datos!BY16/Datos!CN16," - ")</f>
        <v>0</v>
      </c>
      <c r="K16" s="1219" t="str">
        <f t="shared" ref="K16" si="5">IF(ISNUMBER((E16-F16)/C16),(E16-F16)/C16," - ")</f>
        <v xml:space="preserve"> - </v>
      </c>
      <c r="L16" s="1420" t="str">
        <f>IF(ISNUMBER(NºAsuntos!I16/NºAsuntos!G16),(NºAsuntos!I16/NºAsuntos!G16)*11," - ")</f>
        <v xml:space="preserve"> - </v>
      </c>
      <c r="M16" s="1217" t="str">
        <f>IF(ISNUMBER(Datos!CL16),Datos!CL16," - ")</f>
        <v xml:space="preserve"> - </v>
      </c>
      <c r="N16" s="1259">
        <f>Datos!CU16</f>
        <v>0</v>
      </c>
      <c r="O16" s="1030">
        <f>Datos!CT16</f>
        <v>0</v>
      </c>
      <c r="P16" s="1041" t="str">
        <f>IF(ISNUMBER((Datos!AS16/Datos!AQ16)),(Datos!AS16/Datos!AQ16)," - ")</f>
        <v xml:space="preserve"> - </v>
      </c>
      <c r="Q16" s="244">
        <f>IF(ISNUMBER(Datos!CQ16+Datos!CR16),Datos!CQ16+Datos!CR16*1.16," - ")</f>
        <v>0</v>
      </c>
      <c r="R16" s="1223" t="str">
        <f>IF(ISNUMBER((P16/Datos!CO16)*factor_trimestre),(P16/Datos!CO16)*factor_trimestre," - ")</f>
        <v xml:space="preserve"> - </v>
      </c>
      <c r="S16" s="350">
        <f>IF(ISNUMBER((Q16/Datos!CP16)*factor_trimestre),(Q16/Datos!CP16)*factor_trimestre," - ")</f>
        <v>0</v>
      </c>
      <c r="T16" s="1258">
        <f>Datos!ET16</f>
        <v>0</v>
      </c>
      <c r="U16" s="1145"/>
      <c r="V16" s="1149" t="str">
        <f>IF(U16="",IF(ISNUMBER(IF(ISNUMBER(S16),S16,0)/((Datos!EU16-Datos!ET16)/Datos!EU16)),IF(ISNUMBER(S16),S16,0)/((Datos!EU16-Datos!ET16)/Datos!EU16)," - "),IF(ISNUMBER(IF(ISNUMBER(S16),S16,0)/((Datos!EU16-U16)/Datos!EU16)),IF(ISNUMBER(S16),S16,0)/((Datos!EU16-U16)/Datos!EU16)))</f>
        <v xml:space="preserve"> - </v>
      </c>
      <c r="W16" s="1258" t="str">
        <f>IF(ISNUMBER(Datos!CV16),Datos!CV16," - ")</f>
        <v xml:space="preserve"> - </v>
      </c>
      <c r="X16" s="1258" t="str">
        <f>IF(ISNUMBER(Datos!DH16),Datos!DH16," - ")</f>
        <v xml:space="preserve"> - </v>
      </c>
      <c r="Y16" s="1258" t="str">
        <f>IF(ISNUMBER(Datos!DI16),Datos!DI16," - ")</f>
        <v xml:space="preserve"> - </v>
      </c>
      <c r="Z16" s="1248" t="str">
        <f>IF(ISNUMBER(Datos!DJ16),Datos!DJ16," - ")</f>
        <v xml:space="preserve"> - </v>
      </c>
      <c r="AA16" s="1262" t="str">
        <f>IF(ISNUMBER(Datos!DG16),Datos!DG16," - ")</f>
        <v xml:space="preserve"> - </v>
      </c>
      <c r="AB16" s="1247" t="str">
        <f>IF(ISNUMBER(Datos!CY16),Datos!CY16," - ")</f>
        <v xml:space="preserve"> - </v>
      </c>
      <c r="AC16" s="1247" t="str">
        <f>IF(ISNUMBER(Datos!CZ16),Datos!CZ16," - ")</f>
        <v xml:space="preserve"> - </v>
      </c>
      <c r="AD16" s="1247" t="str">
        <f>IF(ISNUMBER(Datos!DA16),Datos!DA16," - ")</f>
        <v xml:space="preserve"> - </v>
      </c>
      <c r="AE16" s="1141">
        <v>0</v>
      </c>
      <c r="BZ16" s="1421">
        <f>Datos!EZ16</f>
        <v>0</v>
      </c>
    </row>
    <row r="17" spans="1:78" ht="15">
      <c r="A17" s="1038">
        <f>ABS(Datos!AO17)</f>
        <v>3</v>
      </c>
      <c r="B17" s="501" t="str">
        <f>Datos!A17</f>
        <v xml:space="preserve">Sección Civil y de Inst. TI                      </v>
      </c>
      <c r="C17" s="224">
        <f t="shared" si="2"/>
        <v>1541</v>
      </c>
      <c r="D17" s="224">
        <f>IF(ISNUMBER(IF(D_I="SI",Datos!I17,Datos!I17+Datos!AC17)),IF(D_I="SI",Datos!I17,Datos!I17+Datos!AC17)," - ")</f>
        <v>1383</v>
      </c>
      <c r="E17" s="225">
        <f>IF(ISNUMBER(IF(D_I="SI",Datos!J17,Datos!J17+Datos!AD17)),IF(D_I="SI",Datos!J17,Datos!J17+Datos!AD17)," - ")</f>
        <v>303</v>
      </c>
      <c r="F17" s="225">
        <f>IF(ISNUMBER(IF(D_I="SI",Datos!K17,Datos!K17+Datos!AE17)),IF(D_I="SI",Datos!K17,Datos!K17+Datos!AE17)," - ")</f>
        <v>433</v>
      </c>
      <c r="G17" s="1029" t="str">
        <f>IF(Datos!E17&lt;&gt;"",Datos!E17,Datos!D17)</f>
        <v>04</v>
      </c>
      <c r="H17" s="226">
        <f>IF(ISNUMBER(IF(D_I="SI",Datos!L17,Datos!L17+Datos!AF17)),IF(D_I="SI",Datos!L17,Datos!L17+Datos!AF17)," - ")</f>
        <v>1411</v>
      </c>
      <c r="I17" s="1039" t="str">
        <f>IF(ISNUMBER(Datos!AS17/Datos!BM17),Datos!AS17/Datos!BM17," - ")</f>
        <v xml:space="preserve"> - </v>
      </c>
      <c r="J17" s="1040">
        <f>IF(ISNUMBER(Datos!BY17/Datos!CN17),Datos!BY17/Datos!CN17," - ")</f>
        <v>0</v>
      </c>
      <c r="K17" s="229">
        <f t="shared" si="3"/>
        <v>-8.4360804672290721E-2</v>
      </c>
      <c r="L17" s="1020">
        <f>IF(ISNUMBER(NºAsuntos!I17/NºAsuntos!G17),(NºAsuntos!I17/NºAsuntos!G17)*11," - ")</f>
        <v>35.84526558891455</v>
      </c>
      <c r="M17" s="227" t="str">
        <f>IF(ISNUMBER(Datos!CL17),Datos!CL17," - ")</f>
        <v xml:space="preserve"> - </v>
      </c>
      <c r="N17" s="479">
        <f>Datos!CU17</f>
        <v>0</v>
      </c>
      <c r="O17" s="1030">
        <f>Datos!CT17</f>
        <v>0</v>
      </c>
      <c r="P17" s="1041"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5"/>
      <c r="V17" s="1149"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1">
        <v>0</v>
      </c>
      <c r="BZ17" s="1181">
        <f>Datos!EZ17</f>
        <v>0</v>
      </c>
    </row>
    <row r="18" spans="1:78" ht="15">
      <c r="A18" s="1038">
        <f>ABS(Datos!AO18)</f>
        <v>1</v>
      </c>
      <c r="B18" s="501" t="str">
        <f>Datos!A18</f>
        <v>Sección De Violencia sobre la Mujer del TI</v>
      </c>
      <c r="C18" s="224">
        <f t="shared" si="2"/>
        <v>13</v>
      </c>
      <c r="D18" s="224">
        <f>IF(ISNUMBER(IF(D_I="SI",Datos!I18,Datos!I18+Datos!AC18)),IF(D_I="SI",Datos!I18,Datos!I18+Datos!AC18)," - ")</f>
        <v>13</v>
      </c>
      <c r="E18" s="225">
        <f>IF(ISNUMBER(IF(D_I="SI",Datos!J18,Datos!J18+Datos!AD18)),IF(D_I="SI",Datos!J18,Datos!J18+Datos!AD18)," - ")</f>
        <v>0</v>
      </c>
      <c r="F18" s="225">
        <f>IF(ISNUMBER(IF(D_I="SI",Datos!K18,Datos!K18+Datos!AE18)),IF(D_I="SI",Datos!K18,Datos!K18+Datos!AE18)," - ")</f>
        <v>0</v>
      </c>
      <c r="G18" s="1029" t="str">
        <f>IF(Datos!E18&lt;&gt;"",Datos!E18,Datos!D18)</f>
        <v>37</v>
      </c>
      <c r="H18" s="226">
        <f>IF(ISNUMBER(IF(D_I="SI",Datos!L18,Datos!L18+Datos!AF18)),IF(D_I="SI",Datos!L18,Datos!L18+Datos!AF18)," - ")</f>
        <v>13</v>
      </c>
      <c r="I18" s="1039" t="str">
        <f>IF(ISNUMBER(Datos!AS18/Datos!BM18),Datos!AS18/Datos!BM18," - ")</f>
        <v xml:space="preserve"> - </v>
      </c>
      <c r="J18" s="1040" t="str">
        <f>IF(ISNUMBER((Datos!BY18+Datos!BZ18)/Datos!CN18),(Datos!BY18+Datos!BZ18)/Datos!CN18," - ")</f>
        <v xml:space="preserve"> - </v>
      </c>
      <c r="K18" s="229">
        <f t="shared" si="3"/>
        <v>0</v>
      </c>
      <c r="L18" s="1020" t="str">
        <f>IF(ISNUMBER(NºAsuntos!I18/NºAsuntos!G18),(NºAsuntos!I18/NºAsuntos!G18)*11," - ")</f>
        <v xml:space="preserve"> - </v>
      </c>
      <c r="M18" s="227" t="str">
        <f>IF(ISNUMBER(Datos!CL18),Datos!CL18," - ")</f>
        <v xml:space="preserve"> - </v>
      </c>
      <c r="N18" s="479">
        <f>Datos!CU18</f>
        <v>0</v>
      </c>
      <c r="O18" s="1030">
        <f>Datos!CT18</f>
        <v>0</v>
      </c>
      <c r="P18" s="1041" t="str">
        <f>IF(ISNUMBER((Datos!AS18/Datos!AQ18)),(Datos!AS18/Datos!AQ18)," - ")</f>
        <v xml:space="preserve"> - </v>
      </c>
      <c r="Q18" s="244" t="str">
        <f>IF(ISNUMBER(Datos!CQ18),Datos!CQ18," - ")</f>
        <v xml:space="preserve"> - </v>
      </c>
      <c r="R18" s="242" t="str">
        <f>IF(ISNUMBER((P18/Datos!CO18)*factor_trimestre),(P18/Datos!CO18)*factor_trimestre," - ")</f>
        <v xml:space="preserve"> - </v>
      </c>
      <c r="S18" s="350" t="str">
        <f>IF(ISNUMBER((Q18/Datos!CP18)*factor_trimestre),(Q18/Datos!CP18)*factor_trimestre," - ")</f>
        <v xml:space="preserve"> - </v>
      </c>
      <c r="T18" s="478">
        <f>Datos!ET18</f>
        <v>0</v>
      </c>
      <c r="U18" s="1145"/>
      <c r="V18" s="1149" t="str">
        <f>IF(U18="",IF(ISNUMBER(IF(ISNUMBER(S18),S18,0)/((Datos!EU18-Datos!ET18)/Datos!EU18)),IF(ISNUMBER(S18),S18,0)/((Datos!EU18-Datos!ET18)/Datos!EU18)," - "),IF(ISNUMBER(IF(ISNUMBER(S18),S18,0)/((Datos!EU18-U18)/Datos!EU18)),IF(ISNUMBER(S18),S18,0)/((Datos!EU18-U18)/Datos!EU18)))</f>
        <v xml:space="preserve"> - </v>
      </c>
      <c r="W18" s="478" t="str">
        <f>IF(ISNUMBER(Datos!CV18),Datos!CV18," - ")</f>
        <v xml:space="preserve"> - </v>
      </c>
      <c r="X18" s="478" t="str">
        <f>IF(ISNUMBER(Datos!DH18),Datos!DH18," - ")</f>
        <v xml:space="preserve"> - </v>
      </c>
      <c r="Y18" s="478" t="str">
        <f>IF(ISNUMBER(Datos!DI18),Datos!DI18," - ")</f>
        <v xml:space="preserve"> - </v>
      </c>
      <c r="Z18" s="334" t="str">
        <f>IF(ISNUMBER(Datos!DJ18),Datos!DJ18," - ")</f>
        <v xml:space="preserve"> - </v>
      </c>
      <c r="AA18" s="483" t="str">
        <f>IF(ISNUMBER(Datos!DG18),Datos!DG18," - ")</f>
        <v xml:space="preserve"> - </v>
      </c>
      <c r="AB18" s="333" t="str">
        <f>IF(ISNUMBER(Datos!CY18),Datos!CY18," - ")</f>
        <v xml:space="preserve"> - </v>
      </c>
      <c r="AC18" s="333" t="str">
        <f>IF(ISNUMBER(Datos!CZ18),Datos!CZ18," - ")</f>
        <v xml:space="preserve"> - </v>
      </c>
      <c r="AD18" s="333" t="str">
        <f>IF(ISNUMBER(Datos!DA18),Datos!DA18," - ")</f>
        <v xml:space="preserve"> - </v>
      </c>
      <c r="AE18" s="1141">
        <v>0</v>
      </c>
      <c r="BZ18" s="1181">
        <f>Datos!EZ18</f>
        <v>0</v>
      </c>
    </row>
    <row r="19" spans="1:78" ht="15.75" thickBot="1">
      <c r="A19" s="1043"/>
      <c r="B19" s="1092" t="str">
        <f>Datos!A19</f>
        <v>TOTAL</v>
      </c>
      <c r="C19" s="1044">
        <f>SUBTOTAL(9,C15:C18)</f>
        <v>1554</v>
      </c>
      <c r="D19" s="1044">
        <f>SUBTOTAL(9,D15:D18)</f>
        <v>1396</v>
      </c>
      <c r="E19" s="1045">
        <f>SUBTOTAL(9,E15:E18)</f>
        <v>303</v>
      </c>
      <c r="F19" s="1045">
        <f>SUBTOTAL(9,F15:F18)</f>
        <v>433</v>
      </c>
      <c r="G19" s="1047" t="str">
        <f ca="1">INDIRECT(CONCATENATE("G",ROW()-1))</f>
        <v>37</v>
      </c>
      <c r="H19" s="1048">
        <f ca="1">SUMIF(G$14:G18,G19,H$14:H18)</f>
        <v>13</v>
      </c>
      <c r="I19" s="1049"/>
      <c r="J19" s="1050"/>
      <c r="K19" s="1051"/>
      <c r="L19" s="1052"/>
      <c r="M19" s="1048">
        <f ca="1">SUMIF(G$14:G18,G19,M$14:M18)</f>
        <v>0</v>
      </c>
      <c r="N19" s="1052"/>
      <c r="O19" s="1048"/>
      <c r="P19" s="1053">
        <f ca="1">SUMIF(G$14:G18,G19,P$14:P18)</f>
        <v>0</v>
      </c>
      <c r="Q19" s="1054">
        <f ca="1">SUMIF(G$14:G18,G19,Q$14:Q18)</f>
        <v>0</v>
      </c>
      <c r="R19" s="1053">
        <f ca="1">SUMIF(G$14:G18,G19,R$14:R18)</f>
        <v>0</v>
      </c>
      <c r="S19" s="1055">
        <f ca="1">SUMIF(G$14:G18,G19,S$14:S18)</f>
        <v>0</v>
      </c>
      <c r="T19" s="1047"/>
      <c r="U19" s="1146"/>
      <c r="V19" s="1144">
        <f ca="1">SUMIF(G$14:G18,G19,V$14:V18)</f>
        <v>0</v>
      </c>
      <c r="W19" s="1056">
        <f ca="1">SUMIF($G$14:$G18,$G19,W$14:W18)</f>
        <v>0</v>
      </c>
      <c r="X19" s="1056">
        <f ca="1">SUMIF($G$14:$G18,$G19,X$14:X18)</f>
        <v>0</v>
      </c>
      <c r="Y19" s="1056">
        <f ca="1">SUMIF($G$14:$G18,$G19,Y$14:Y18)</f>
        <v>0</v>
      </c>
      <c r="Z19" s="1047">
        <f ca="1">SUMIF($G$14:$G18,$G19,Z$14:Z18)</f>
        <v>0</v>
      </c>
      <c r="AA19" s="1057">
        <f ca="1">SUMIF($G$14:$G18,$G19,AA$14:AA18)</f>
        <v>0</v>
      </c>
      <c r="AB19" s="1056">
        <f ca="1">SUMIF($G$14:$G18,$G19,AB$14:AB18)</f>
        <v>0</v>
      </c>
      <c r="AC19" s="1056">
        <f ca="1">SUMIF($G$14:$G18,$G19,AC$14:AC18)</f>
        <v>0</v>
      </c>
      <c r="AD19" s="1056">
        <f ca="1">SUMIF($G$14:$G18,$G19,AD$14:AD18)</f>
        <v>0</v>
      </c>
      <c r="AE19" s="1141"/>
      <c r="BZ19" s="1181"/>
    </row>
    <row r="20" spans="1:78" ht="18.75" customHeight="1" thickTop="1" thickBot="1">
      <c r="A20" s="1065"/>
      <c r="B20" s="1093" t="str">
        <f>Datos!A20</f>
        <v>TOTAL JURISDICCIONES</v>
      </c>
      <c r="C20" s="1066">
        <f>SUBTOTAL(9,C9:C19)</f>
        <v>1554</v>
      </c>
      <c r="D20" s="1066">
        <f>SUBTOTAL(9,D9:D19)</f>
        <v>1396</v>
      </c>
      <c r="E20" s="1067">
        <f>SUBTOTAL(9,E9:E19)</f>
        <v>303</v>
      </c>
      <c r="F20" s="1067">
        <f>SUBTOTAL(9,F9:F19)</f>
        <v>433</v>
      </c>
      <c r="G20" s="1068"/>
      <c r="H20" s="1069">
        <f ca="1">SUMIF(B9:B19,"TOTAL",H9:H19)</f>
        <v>13</v>
      </c>
      <c r="I20" s="1070"/>
      <c r="J20" s="1071"/>
      <c r="K20" s="1072"/>
      <c r="L20" s="1073"/>
      <c r="M20" s="1074">
        <f ca="1">SUMIF(B9:B19,"TOTAL",M9:M19)</f>
        <v>0</v>
      </c>
      <c r="N20" s="1073"/>
      <c r="O20" s="1074"/>
      <c r="P20" s="1074"/>
      <c r="Q20" s="1074"/>
      <c r="R20" s="1075">
        <f ca="1">SUMIF(B9:B19,"TOTAL",R9:R19)</f>
        <v>0</v>
      </c>
      <c r="S20" s="1076">
        <f ca="1">SUMIF(B9:B19,"TOTAL",S9:S19)</f>
        <v>0</v>
      </c>
      <c r="T20" s="1078"/>
      <c r="U20" s="1148"/>
      <c r="V20" s="1076">
        <f ca="1">SUMIF(B9:B19,"TOTAL",V9:V19)</f>
        <v>0</v>
      </c>
      <c r="W20" s="1077">
        <f t="shared" ref="W20:AD20" ca="1" si="6">SUMIF($B9:$B19,"TOTAL",W9:W19)</f>
        <v>0</v>
      </c>
      <c r="X20" s="1077">
        <f t="shared" ca="1" si="6"/>
        <v>0</v>
      </c>
      <c r="Y20" s="1077">
        <f t="shared" ca="1" si="6"/>
        <v>0</v>
      </c>
      <c r="Z20" s="1078">
        <f t="shared" ca="1" si="6"/>
        <v>0</v>
      </c>
      <c r="AA20" s="1077">
        <f t="shared" ca="1" si="6"/>
        <v>0</v>
      </c>
      <c r="AB20" s="1077">
        <f t="shared" ca="1" si="6"/>
        <v>0</v>
      </c>
      <c r="AC20" s="1077">
        <f t="shared" ca="1" si="6"/>
        <v>0</v>
      </c>
      <c r="AD20" s="1079">
        <f t="shared" ca="1" si="6"/>
        <v>0</v>
      </c>
    </row>
    <row r="21" spans="1:78" ht="12" customHeight="1" thickTop="1">
      <c r="B21" s="73"/>
    </row>
    <row r="22" spans="1:78" ht="12.75" customHeight="1">
      <c r="B22" s="1094"/>
      <c r="C22" s="1024"/>
      <c r="D22" s="1024"/>
      <c r="E22" s="1025"/>
      <c r="F22" s="1024"/>
      <c r="G22" s="1024"/>
      <c r="H22" s="1024"/>
      <c r="I22" s="1024"/>
      <c r="J22" s="1024"/>
      <c r="K22" s="1025"/>
      <c r="L22" s="1025"/>
      <c r="M22" s="1025"/>
      <c r="N22" s="1025"/>
      <c r="O22" s="1025"/>
      <c r="P22" s="1025"/>
      <c r="Q22" s="1025"/>
    </row>
    <row r="23" spans="1:78" ht="12.75" customHeight="1">
      <c r="B23" s="470" t="str">
        <f>Criterios!A4</f>
        <v>Fecha Informe: 18 jun. 2026</v>
      </c>
      <c r="C23" s="1024"/>
      <c r="D23" s="1024"/>
      <c r="E23" s="1025"/>
      <c r="F23" s="1024"/>
      <c r="G23" s="1024"/>
      <c r="H23" s="1024"/>
      <c r="I23" s="1024"/>
      <c r="J23" s="1024"/>
      <c r="K23" s="1025"/>
      <c r="L23" s="1025"/>
      <c r="M23" s="1025"/>
      <c r="N23" s="1025"/>
      <c r="O23" s="1025"/>
      <c r="P23" s="1025"/>
      <c r="Q23" s="1025"/>
    </row>
    <row r="24" spans="1:78" ht="12.75" customHeight="1">
      <c r="B24" s="1094"/>
      <c r="C24" s="1024"/>
      <c r="D24" s="1024"/>
      <c r="E24" s="1024"/>
      <c r="F24" s="1024"/>
      <c r="G24" s="1024"/>
      <c r="H24" s="1024"/>
      <c r="I24" s="1024"/>
      <c r="J24" s="1024"/>
      <c r="K24" s="1024"/>
      <c r="L24" s="1024"/>
      <c r="M24" s="1024"/>
      <c r="N24" s="1024"/>
      <c r="O24" s="1024"/>
      <c r="P24" s="1024"/>
      <c r="Q24" s="1024"/>
    </row>
    <row r="25" spans="1:78" ht="12.75" customHeight="1">
      <c r="B25" s="1094"/>
      <c r="C25" s="1024"/>
      <c r="D25" s="1024"/>
      <c r="E25" s="1024"/>
      <c r="F25" s="1024"/>
      <c r="G25" s="1024"/>
      <c r="H25" s="1024"/>
      <c r="I25" s="1024"/>
      <c r="J25" s="1024"/>
      <c r="K25" s="1024"/>
      <c r="L25" s="1024"/>
      <c r="M25" s="1024"/>
      <c r="N25" s="1024"/>
      <c r="O25" s="1024"/>
      <c r="P25" s="1024"/>
      <c r="Q25" s="1024"/>
    </row>
    <row r="26" spans="1:78">
      <c r="B26" s="526"/>
      <c r="N26" s="1634" t="s">
        <v>627</v>
      </c>
      <c r="O26" s="1634"/>
      <c r="P26" s="1634"/>
      <c r="Q26" s="1634"/>
      <c r="R26" s="1634"/>
      <c r="S26" s="1634"/>
      <c r="T26" s="1634"/>
      <c r="U26" s="1634"/>
      <c r="V26" s="1634"/>
      <c r="W26" s="1634"/>
      <c r="Y26" s="1634" t="s">
        <v>628</v>
      </c>
      <c r="Z26" s="1634"/>
      <c r="AA26" s="1634"/>
      <c r="AB26" s="1634"/>
      <c r="AC26" s="1634"/>
      <c r="AD26" s="1634"/>
    </row>
    <row r="28" spans="1:78">
      <c r="N28" s="1026" t="s">
        <v>629</v>
      </c>
      <c r="O28" s="1635" t="s">
        <v>630</v>
      </c>
      <c r="P28" s="1635"/>
      <c r="Q28" s="1635"/>
      <c r="R28" s="1635"/>
      <c r="S28" s="1635"/>
      <c r="T28" s="1635"/>
      <c r="U28" s="1635"/>
      <c r="V28" s="1635"/>
      <c r="W28" s="1635"/>
      <c r="Y28" s="1026" t="s">
        <v>629</v>
      </c>
      <c r="Z28" s="1636" t="s">
        <v>631</v>
      </c>
      <c r="AA28" s="1636"/>
      <c r="AB28" s="1636"/>
      <c r="AC28" s="1636"/>
      <c r="AD28" s="1636"/>
    </row>
    <row r="29" spans="1:78">
      <c r="N29" s="1026" t="s">
        <v>632</v>
      </c>
      <c r="O29" s="1635" t="s">
        <v>633</v>
      </c>
      <c r="P29" s="1635"/>
      <c r="Q29" s="1635"/>
      <c r="R29" s="1635"/>
      <c r="S29" s="1635"/>
      <c r="T29" s="1635"/>
      <c r="U29" s="1635"/>
      <c r="V29" s="1635"/>
      <c r="W29" s="1635"/>
      <c r="Y29" s="1026" t="s">
        <v>632</v>
      </c>
      <c r="Z29" s="1636" t="s">
        <v>634</v>
      </c>
      <c r="AA29" s="1636"/>
      <c r="AB29" s="1636"/>
      <c r="AC29" s="1636"/>
      <c r="AD29" s="1636"/>
    </row>
    <row r="30" spans="1:78">
      <c r="N30" s="1026" t="s">
        <v>635</v>
      </c>
      <c r="O30" s="1635" t="s">
        <v>636</v>
      </c>
      <c r="P30" s="1635"/>
      <c r="Q30" s="1635"/>
      <c r="R30" s="1635"/>
      <c r="S30" s="1635"/>
      <c r="T30" s="1635"/>
      <c r="U30" s="1635"/>
      <c r="V30" s="1635"/>
      <c r="W30" s="1635"/>
      <c r="Y30" s="1026" t="s">
        <v>637</v>
      </c>
      <c r="Z30" s="1636" t="s">
        <v>836</v>
      </c>
      <c r="AA30" s="1636"/>
      <c r="AB30" s="1636"/>
      <c r="AC30" s="1636"/>
      <c r="AD30" s="1636"/>
    </row>
    <row r="31" spans="1:78">
      <c r="N31" s="1026" t="s">
        <v>638</v>
      </c>
      <c r="O31" s="1635" t="s">
        <v>639</v>
      </c>
      <c r="P31" s="1635"/>
      <c r="Q31" s="1635"/>
      <c r="R31" s="1635"/>
      <c r="S31" s="1635"/>
      <c r="T31" s="1635"/>
      <c r="U31" s="1635"/>
      <c r="V31" s="1635"/>
      <c r="W31" s="1635"/>
      <c r="Y31" s="1026" t="s">
        <v>640</v>
      </c>
      <c r="Z31" s="1636" t="s">
        <v>837</v>
      </c>
      <c r="AA31" s="1636"/>
      <c r="AB31" s="1636"/>
      <c r="AC31" s="1636"/>
      <c r="AD31" s="1636"/>
    </row>
    <row r="32" spans="1:78">
      <c r="N32" s="1026" t="s">
        <v>721</v>
      </c>
      <c r="O32" s="1635" t="s">
        <v>722</v>
      </c>
      <c r="P32" s="1635"/>
      <c r="Q32" s="1635"/>
      <c r="R32" s="1635"/>
      <c r="S32" s="1635"/>
      <c r="T32" s="1635"/>
      <c r="U32" s="1635"/>
      <c r="V32" s="1635"/>
      <c r="W32" s="1635"/>
      <c r="Y32" s="1026" t="s">
        <v>635</v>
      </c>
      <c r="Z32" s="1636" t="s">
        <v>636</v>
      </c>
      <c r="AA32" s="1636"/>
      <c r="AB32" s="1636"/>
      <c r="AC32" s="1636"/>
      <c r="AD32" s="1636"/>
    </row>
    <row r="33" spans="14:30">
      <c r="N33" s="1026" t="s">
        <v>641</v>
      </c>
      <c r="O33" s="1635" t="s">
        <v>642</v>
      </c>
      <c r="P33" s="1635"/>
      <c r="Q33" s="1635"/>
      <c r="R33" s="1635"/>
      <c r="S33" s="1635"/>
      <c r="T33" s="1635"/>
      <c r="U33" s="1635"/>
      <c r="V33" s="1635"/>
      <c r="W33" s="1635"/>
      <c r="Y33" s="1026" t="s">
        <v>638</v>
      </c>
      <c r="Z33" s="1636" t="s">
        <v>639</v>
      </c>
      <c r="AA33" s="1636"/>
      <c r="AB33" s="1636"/>
      <c r="AC33" s="1636"/>
      <c r="AD33" s="1636"/>
    </row>
    <row r="34" spans="14:30">
      <c r="N34" s="1026" t="s">
        <v>643</v>
      </c>
      <c r="O34" s="1635" t="s">
        <v>644</v>
      </c>
      <c r="P34" s="1635"/>
      <c r="Q34" s="1635"/>
      <c r="R34" s="1635"/>
      <c r="S34" s="1635"/>
      <c r="T34" s="1635"/>
      <c r="U34" s="1635"/>
      <c r="V34" s="1635"/>
      <c r="W34" s="1635"/>
      <c r="Y34" s="1026" t="s">
        <v>721</v>
      </c>
      <c r="Z34" s="1636" t="s">
        <v>861</v>
      </c>
      <c r="AA34" s="1636"/>
      <c r="AB34" s="1636"/>
      <c r="AC34" s="1636"/>
      <c r="AD34" s="1636"/>
    </row>
    <row r="35" spans="14:30">
      <c r="N35" s="1026" t="s">
        <v>637</v>
      </c>
      <c r="O35" s="1635" t="s">
        <v>834</v>
      </c>
      <c r="P35" s="1635"/>
      <c r="Q35" s="1635"/>
      <c r="R35" s="1635"/>
      <c r="S35" s="1635"/>
      <c r="T35" s="1635"/>
      <c r="U35" s="1635"/>
      <c r="V35" s="1635"/>
      <c r="W35" s="1635"/>
      <c r="Y35" s="1026" t="s">
        <v>645</v>
      </c>
      <c r="Z35" s="1636" t="s">
        <v>646</v>
      </c>
      <c r="AA35" s="1636"/>
      <c r="AB35" s="1636"/>
      <c r="AC35" s="1636"/>
      <c r="AD35" s="1636"/>
    </row>
    <row r="36" spans="14:30">
      <c r="N36" s="1026" t="s">
        <v>640</v>
      </c>
      <c r="O36" s="1635" t="s">
        <v>835</v>
      </c>
      <c r="P36" s="1635"/>
      <c r="Q36" s="1635"/>
      <c r="R36" s="1635"/>
      <c r="S36" s="1635"/>
      <c r="T36" s="1635"/>
      <c r="U36" s="1635"/>
      <c r="V36" s="1635"/>
      <c r="W36" s="1635"/>
      <c r="Y36" s="1026" t="s">
        <v>647</v>
      </c>
      <c r="Z36" s="1636" t="s">
        <v>648</v>
      </c>
      <c r="AA36" s="1636"/>
      <c r="AB36" s="1636"/>
      <c r="AC36" s="1636"/>
      <c r="AD36" s="1636"/>
    </row>
    <row r="37" spans="14:30">
      <c r="N37" s="1026" t="s">
        <v>645</v>
      </c>
      <c r="O37" s="1635" t="s">
        <v>649</v>
      </c>
      <c r="P37" s="1635"/>
      <c r="Q37" s="1635"/>
      <c r="R37" s="1635"/>
      <c r="S37" s="1635"/>
      <c r="T37" s="1635"/>
      <c r="U37" s="1635"/>
      <c r="V37" s="1635"/>
      <c r="W37" s="1635"/>
      <c r="Y37" s="1026" t="s">
        <v>650</v>
      </c>
      <c r="Z37" s="1636" t="s">
        <v>651</v>
      </c>
      <c r="AA37" s="1636"/>
      <c r="AB37" s="1636"/>
      <c r="AC37" s="1636"/>
      <c r="AD37" s="1636"/>
    </row>
    <row r="38" spans="14:30">
      <c r="N38" s="1026" t="s">
        <v>652</v>
      </c>
      <c r="O38" s="1635" t="s">
        <v>653</v>
      </c>
      <c r="P38" s="1635"/>
      <c r="Q38" s="1635"/>
      <c r="R38" s="1635"/>
      <c r="S38" s="1635"/>
      <c r="T38" s="1635"/>
      <c r="U38" s="1635"/>
      <c r="V38" s="1635"/>
      <c r="W38" s="1635"/>
      <c r="Y38" s="1026" t="s">
        <v>641</v>
      </c>
      <c r="Z38" s="1636" t="s">
        <v>642</v>
      </c>
      <c r="AA38" s="1636"/>
      <c r="AB38" s="1636"/>
      <c r="AC38" s="1636"/>
      <c r="AD38" s="1636"/>
    </row>
    <row r="39" spans="14:30">
      <c r="N39" s="1026" t="s">
        <v>647</v>
      </c>
      <c r="O39" s="1635" t="s">
        <v>654</v>
      </c>
      <c r="P39" s="1635"/>
      <c r="Q39" s="1635"/>
      <c r="R39" s="1635"/>
      <c r="S39" s="1635"/>
      <c r="T39" s="1635"/>
      <c r="U39" s="1635"/>
      <c r="V39" s="1635"/>
      <c r="W39" s="1635"/>
      <c r="Y39" s="1027" t="s">
        <v>643</v>
      </c>
      <c r="Z39" s="1638" t="s">
        <v>644</v>
      </c>
      <c r="AA39" s="1638"/>
      <c r="AB39" s="1638"/>
      <c r="AC39" s="1638"/>
      <c r="AD39" s="1638"/>
    </row>
    <row r="40" spans="14:30">
      <c r="N40" s="1027" t="s">
        <v>650</v>
      </c>
      <c r="O40" s="1637" t="s">
        <v>655</v>
      </c>
      <c r="P40" s="1637"/>
      <c r="Q40" s="1637"/>
      <c r="R40" s="1637"/>
      <c r="S40" s="1637"/>
      <c r="T40" s="1637"/>
      <c r="U40" s="1637"/>
      <c r="V40" s="1637"/>
      <c r="W40" s="1637"/>
    </row>
  </sheetData>
  <sheetProtection algorithmName="SHA-512" hashValue="uWE9E/mhsBQAG8EL9vEaz7SICHj4zv+DOCK8LXf9aZWKx2LSk7LfGNR+xPjByN64h5A99JhAa7+VxFXcclfsJw==" saltValue="u1EOazmp2Flg/d8BsBncKg==" spinCount="100000" sheet="1" objects="1" scenarios="1"/>
  <mergeCells count="49">
    <mergeCell ref="O40:W40"/>
    <mergeCell ref="Z38:AD38"/>
    <mergeCell ref="Z39:AD39"/>
    <mergeCell ref="Z37:AD37"/>
    <mergeCell ref="Z34:AD34"/>
    <mergeCell ref="O37:W37"/>
    <mergeCell ref="O38:W38"/>
    <mergeCell ref="O39:W39"/>
    <mergeCell ref="O34:W34"/>
    <mergeCell ref="O35:W35"/>
    <mergeCell ref="O36:W36"/>
    <mergeCell ref="Z35:AD35"/>
    <mergeCell ref="Z36:AD36"/>
    <mergeCell ref="O30:W30"/>
    <mergeCell ref="O31:W31"/>
    <mergeCell ref="O33:W33"/>
    <mergeCell ref="O32:W32"/>
    <mergeCell ref="Z30:AD30"/>
    <mergeCell ref="Z31:AD31"/>
    <mergeCell ref="Z32:AD32"/>
    <mergeCell ref="Z33:AD33"/>
    <mergeCell ref="N26:W26"/>
    <mergeCell ref="O28:W28"/>
    <mergeCell ref="O29:W29"/>
    <mergeCell ref="Y26:AD26"/>
    <mergeCell ref="Z28:AD28"/>
    <mergeCell ref="Z29:AD29"/>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8 C10:C12">
    <cfRule type="cellIs" dxfId="714" priority="111" stopIfTrue="1" operator="notBetween">
      <formula>$C$24</formula>
      <formula>$C$25</formula>
    </cfRule>
  </conditionalFormatting>
  <conditionalFormatting sqref="D10:D12 D15:D18">
    <cfRule type="cellIs" dxfId="713" priority="92" stopIfTrue="1" operator="between">
      <formula>$D$24</formula>
      <formula>$D$25</formula>
    </cfRule>
  </conditionalFormatting>
  <conditionalFormatting sqref="E15:E18 E9:E12">
    <cfRule type="cellIs" dxfId="712" priority="99" stopIfTrue="1" operator="notBetween">
      <formula>$E$24</formula>
      <formula>$E$25</formula>
    </cfRule>
  </conditionalFormatting>
  <conditionalFormatting sqref="F15:F18 F9:F12">
    <cfRule type="cellIs" dxfId="711" priority="105" stopIfTrue="1" operator="notBetween">
      <formula>$F$24</formula>
      <formula>$F$25</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4" t="s">
        <v>420</v>
      </c>
    </row>
    <row r="9" spans="2:2">
      <c r="B9" s="466"/>
    </row>
    <row r="10" spans="2:2">
      <c r="B10" s="463"/>
    </row>
    <row r="11" spans="2:2" ht="25.5">
      <c r="B11" s="1151" t="s">
        <v>421</v>
      </c>
    </row>
    <row r="12" spans="2:2">
      <c r="B12" s="1152"/>
    </row>
    <row r="13" spans="2:2" ht="76.5">
      <c r="B13" s="1152" t="s">
        <v>422</v>
      </c>
    </row>
    <row r="14" spans="2:2">
      <c r="B14" s="1152"/>
    </row>
    <row r="15" spans="2:2" ht="51">
      <c r="B15" s="1152" t="s">
        <v>423</v>
      </c>
    </row>
    <row r="16" spans="2:2">
      <c r="B16" s="1152"/>
    </row>
    <row r="17" spans="2:2" ht="51">
      <c r="B17" s="1153" t="s">
        <v>424</v>
      </c>
    </row>
  </sheetData>
  <sheetProtection algorithmName="SHA-512" hashValue="udU2kM8IZTi2/yolVLrOfv2pr1D+ZIrydptclI4v5uLftmVlcB9vEwQfxdrQ6gcsCi8G09jO9VxWkP7mPi/M8A==" saltValue="2T7aP2rsga0zQg/cql9O1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8"/>
  <sheetViews>
    <sheetView zoomScale="85" zoomScaleNormal="85" workbookViewId="0">
      <pane xSplit="1" topLeftCell="B1" activePane="topRight" state="frozen"/>
      <selection pane="topRight" activeCell="A31" sqref="A3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c r="BO1" s="31"/>
      <c r="BP1" s="30"/>
      <c r="BQ1" s="50"/>
      <c r="BR1" s="31"/>
      <c r="BS1" s="30"/>
      <c r="BT1" s="50"/>
      <c r="BU1" s="31"/>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CADIZ</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c r="BO5" s="1583"/>
      <c r="BP5" s="1582"/>
      <c r="BQ5" s="1583"/>
      <c r="BR5" s="1582"/>
      <c r="BS5" s="1583"/>
      <c r="BT5" s="1582"/>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738</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469" t="s">
        <v>737</v>
      </c>
      <c r="ER8" s="469">
        <v>148</v>
      </c>
      <c r="ES8" s="469" t="s">
        <v>744</v>
      </c>
      <c r="ET8" s="1136" t="s">
        <v>780</v>
      </c>
      <c r="EU8" s="1136" t="s">
        <v>781</v>
      </c>
      <c r="EV8" s="151" t="s">
        <v>788</v>
      </c>
      <c r="EW8" s="151">
        <v>153</v>
      </c>
      <c r="EX8" s="469" t="s">
        <v>810</v>
      </c>
      <c r="EY8" s="469" t="s">
        <v>815</v>
      </c>
      <c r="EZ8" s="469" t="s">
        <v>859</v>
      </c>
    </row>
    <row r="9" spans="1:156" ht="14.25" customHeight="1">
      <c r="A9" s="20" t="s">
        <v>1011</v>
      </c>
      <c r="B9" s="21" t="s">
        <v>403</v>
      </c>
      <c r="C9" s="22" t="s">
        <v>3</v>
      </c>
      <c r="D9" s="23" t="s">
        <v>20</v>
      </c>
      <c r="E9" s="21" t="s">
        <v>21</v>
      </c>
      <c r="F9" s="21">
        <v>32</v>
      </c>
      <c r="G9" s="6" t="s">
        <v>140</v>
      </c>
      <c r="H9" s="136" t="s">
        <v>1016</v>
      </c>
      <c r="I9" s="179" t="s">
        <v>768</v>
      </c>
      <c r="J9" s="180" t="s">
        <v>764</v>
      </c>
      <c r="K9" s="180" t="s">
        <v>806</v>
      </c>
      <c r="L9" s="180" t="s">
        <v>771</v>
      </c>
      <c r="M9" s="180" t="s">
        <v>489</v>
      </c>
      <c r="N9" s="180" t="s">
        <v>504</v>
      </c>
      <c r="O9" s="180" t="s">
        <v>225</v>
      </c>
      <c r="P9" s="180" t="s">
        <v>39</v>
      </c>
      <c r="Q9" s="180" t="s">
        <v>40</v>
      </c>
      <c r="R9" s="180" t="s">
        <v>91</v>
      </c>
      <c r="S9" s="180"/>
      <c r="T9" s="180"/>
      <c r="U9" s="180"/>
      <c r="V9" s="180"/>
      <c r="W9" s="180"/>
      <c r="X9" s="187"/>
      <c r="Y9" s="190" t="s">
        <v>136</v>
      </c>
      <c r="Z9" s="180" t="s">
        <v>137</v>
      </c>
      <c r="AA9" s="180" t="s">
        <v>138</v>
      </c>
      <c r="AB9" s="180" t="s">
        <v>139</v>
      </c>
      <c r="AC9" s="180"/>
      <c r="AD9" s="180"/>
      <c r="AE9" s="180"/>
      <c r="AF9" s="187"/>
      <c r="AG9" s="190"/>
      <c r="AH9" s="180"/>
      <c r="AI9" s="180"/>
      <c r="AJ9" s="191"/>
      <c r="AK9" s="179"/>
      <c r="AL9" s="180"/>
      <c r="AM9" s="180"/>
      <c r="AN9" s="187"/>
      <c r="AO9" s="257">
        <v>0</v>
      </c>
      <c r="AP9" s="153">
        <v>0</v>
      </c>
      <c r="AQ9" s="153">
        <v>0</v>
      </c>
      <c r="AR9" s="192">
        <v>0</v>
      </c>
      <c r="AS9" s="337" t="s">
        <v>763</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8" t="s">
        <v>825</v>
      </c>
      <c r="EP9" s="992"/>
      <c r="EQ9" s="992"/>
      <c r="ER9" s="995">
        <v>1200</v>
      </c>
      <c r="ES9" s="992"/>
      <c r="ET9" s="1137"/>
      <c r="EU9" s="1137"/>
      <c r="EV9" s="1150"/>
      <c r="EW9" s="1150"/>
      <c r="EX9" s="155"/>
      <c r="EY9" s="155"/>
      <c r="EZ9" s="155"/>
    </row>
    <row r="10" spans="1:156" ht="14.25" customHeight="1">
      <c r="A10" s="20" t="s">
        <v>1017</v>
      </c>
      <c r="B10" s="21" t="s">
        <v>403</v>
      </c>
      <c r="C10" s="22" t="s">
        <v>3</v>
      </c>
      <c r="D10" s="23" t="s">
        <v>82</v>
      </c>
      <c r="E10" s="21" t="s">
        <v>82</v>
      </c>
      <c r="F10" s="21" t="s">
        <v>141</v>
      </c>
      <c r="G10" s="6" t="s">
        <v>140</v>
      </c>
      <c r="H10" s="28"/>
      <c r="I10" s="179">
        <v>0</v>
      </c>
      <c r="J10" s="180">
        <v>0</v>
      </c>
      <c r="K10" s="180">
        <v>0</v>
      </c>
      <c r="L10" s="180">
        <v>0</v>
      </c>
      <c r="M10" s="180">
        <v>0</v>
      </c>
      <c r="N10" s="180">
        <v>0</v>
      </c>
      <c r="O10" s="180">
        <v>0</v>
      </c>
      <c r="P10" s="180">
        <v>0</v>
      </c>
      <c r="Q10" s="180">
        <v>0</v>
      </c>
      <c r="R10" s="180">
        <v>0</v>
      </c>
      <c r="S10" s="180">
        <v>0</v>
      </c>
      <c r="T10" s="180">
        <v>0</v>
      </c>
      <c r="U10" s="180">
        <v>0</v>
      </c>
      <c r="V10" s="180">
        <v>0</v>
      </c>
      <c r="W10" s="180">
        <v>0</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757</v>
      </c>
      <c r="AT10" s="191"/>
      <c r="AU10" s="199"/>
      <c r="AV10" s="191"/>
      <c r="AW10" s="199"/>
      <c r="AX10" s="191"/>
      <c r="AY10" s="128">
        <f t="shared" ref="AY10:BC10" si="0">IF(ISNUMBER(S10),S10," - ")</f>
        <v>0</v>
      </c>
      <c r="AZ10" s="129">
        <f t="shared" si="0"/>
        <v>0</v>
      </c>
      <c r="BA10" s="129">
        <f t="shared" si="0"/>
        <v>0</v>
      </c>
      <c r="BB10" s="129">
        <f t="shared" si="0"/>
        <v>0</v>
      </c>
      <c r="BC10" s="125">
        <f t="shared" si="0"/>
        <v>0</v>
      </c>
      <c r="BD10" s="126" t="str">
        <f>IF(ISNUMBER(BA10/AZ10),BA10/AZ10," - ")</f>
        <v xml:space="preserve"> - </v>
      </c>
      <c r="BE10" s="127" t="str">
        <f>IF(ISNUMBER(BB10/BA10),BB10/BA10, " - ")</f>
        <v xml:space="preserve"> - </v>
      </c>
      <c r="BF10" s="127" t="str">
        <f>IF(ISNUMBER(BC10/BA10),BC10/BA10, " - ")</f>
        <v xml:space="preserve"> - </v>
      </c>
      <c r="BG10" s="195" t="str">
        <f>IF(ISNUMBER((AY10+AZ10)/BA10),(AY10+AZ10)/BA10," - ")</f>
        <v xml:space="preserve"> - </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t="s">
        <v>751</v>
      </c>
      <c r="EP10" s="338"/>
      <c r="EQ10" s="338"/>
      <c r="ER10" s="996">
        <v>1600</v>
      </c>
      <c r="ES10" s="338"/>
      <c r="ET10" s="1137"/>
      <c r="EU10" s="1137"/>
      <c r="EV10" s="1150"/>
      <c r="EW10" s="1150"/>
      <c r="EX10" s="288"/>
      <c r="EY10" s="288"/>
      <c r="EZ10" s="155"/>
    </row>
    <row r="11" spans="1:156" ht="14.25" customHeight="1" thickBot="1">
      <c r="A11" s="20" t="s">
        <v>1012</v>
      </c>
      <c r="B11" s="21" t="s">
        <v>403</v>
      </c>
      <c r="C11" s="22" t="s">
        <v>3</v>
      </c>
      <c r="D11" s="23" t="s">
        <v>20</v>
      </c>
      <c r="E11" s="21" t="s">
        <v>51</v>
      </c>
      <c r="F11" s="21">
        <v>32</v>
      </c>
      <c r="G11" s="6" t="s">
        <v>140</v>
      </c>
      <c r="H11" s="28" t="s">
        <v>36</v>
      </c>
      <c r="I11" s="181" t="s">
        <v>768</v>
      </c>
      <c r="J11" s="182" t="s">
        <v>764</v>
      </c>
      <c r="K11" s="182" t="s">
        <v>806</v>
      </c>
      <c r="L11" s="182" t="s">
        <v>771</v>
      </c>
      <c r="M11" s="182" t="s">
        <v>489</v>
      </c>
      <c r="N11" s="182" t="s">
        <v>504</v>
      </c>
      <c r="O11" s="180" t="s">
        <v>225</v>
      </c>
      <c r="P11" s="182" t="s">
        <v>39</v>
      </c>
      <c r="Q11" s="182" t="s">
        <v>40</v>
      </c>
      <c r="R11" s="182" t="s">
        <v>91</v>
      </c>
      <c r="S11" s="182"/>
      <c r="T11" s="182"/>
      <c r="U11" s="182"/>
      <c r="V11" s="182"/>
      <c r="W11" s="182"/>
      <c r="X11" s="188"/>
      <c r="Y11" s="190" t="s">
        <v>136</v>
      </c>
      <c r="Z11" s="180" t="s">
        <v>137</v>
      </c>
      <c r="AA11" s="180" t="s">
        <v>138</v>
      </c>
      <c r="AB11" s="180" t="s">
        <v>139</v>
      </c>
      <c r="AC11" s="182"/>
      <c r="AD11" s="182"/>
      <c r="AE11" s="182"/>
      <c r="AF11" s="188"/>
      <c r="AG11" s="201"/>
      <c r="AH11" s="182"/>
      <c r="AI11" s="182"/>
      <c r="AJ11" s="202"/>
      <c r="AK11" s="181"/>
      <c r="AL11" s="182"/>
      <c r="AM11" s="182"/>
      <c r="AN11" s="188"/>
      <c r="AO11" s="258">
        <v>0</v>
      </c>
      <c r="AP11" s="154">
        <v>0</v>
      </c>
      <c r="AQ11" s="154">
        <v>0</v>
      </c>
      <c r="AR11" s="153">
        <v>0</v>
      </c>
      <c r="AS11" s="339" t="s">
        <v>765</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8" t="s">
        <v>826</v>
      </c>
      <c r="EP11" s="993"/>
      <c r="EQ11" s="993"/>
      <c r="ER11" s="997">
        <v>1323</v>
      </c>
      <c r="ES11" s="993"/>
      <c r="ET11" s="1137"/>
      <c r="EU11" s="1137"/>
      <c r="EV11" s="1150"/>
      <c r="EW11" s="1150"/>
      <c r="EX11" s="288"/>
      <c r="EY11" s="288"/>
      <c r="EZ11" s="155"/>
    </row>
    <row r="12" spans="1:156" ht="14.25" customHeight="1">
      <c r="A12" s="20" t="s">
        <v>1014</v>
      </c>
      <c r="B12" s="21" t="s">
        <v>403</v>
      </c>
      <c r="C12" s="22" t="s">
        <v>3</v>
      </c>
      <c r="D12" s="23" t="s">
        <v>20</v>
      </c>
      <c r="E12" s="21" t="s">
        <v>20</v>
      </c>
      <c r="F12" s="21">
        <v>31</v>
      </c>
      <c r="G12" s="6" t="s">
        <v>140</v>
      </c>
      <c r="H12" s="214"/>
      <c r="I12" s="181">
        <v>1460</v>
      </c>
      <c r="J12" s="182">
        <v>590</v>
      </c>
      <c r="K12" s="182">
        <v>605</v>
      </c>
      <c r="L12" s="182">
        <v>1639</v>
      </c>
      <c r="M12" s="182">
        <v>243</v>
      </c>
      <c r="N12" s="182">
        <v>200</v>
      </c>
      <c r="O12" s="180">
        <v>381</v>
      </c>
      <c r="P12" s="182">
        <v>230</v>
      </c>
      <c r="Q12" s="182">
        <v>279</v>
      </c>
      <c r="R12" s="182">
        <v>2852</v>
      </c>
      <c r="S12" s="182">
        <v>1941</v>
      </c>
      <c r="T12" s="182">
        <v>1037</v>
      </c>
      <c r="U12" s="182">
        <v>815</v>
      </c>
      <c r="V12" s="182">
        <v>2163</v>
      </c>
      <c r="W12" s="182">
        <v>169</v>
      </c>
      <c r="X12" s="188">
        <v>526</v>
      </c>
      <c r="Y12" s="190">
        <v>27</v>
      </c>
      <c r="Z12" s="180">
        <v>25</v>
      </c>
      <c r="AA12" s="180">
        <v>28</v>
      </c>
      <c r="AB12" s="180">
        <v>24</v>
      </c>
      <c r="AC12" s="182">
        <v>0</v>
      </c>
      <c r="AD12" s="182">
        <v>0</v>
      </c>
      <c r="AE12" s="182">
        <v>0</v>
      </c>
      <c r="AF12" s="188">
        <v>0</v>
      </c>
      <c r="AG12" s="201">
        <v>16</v>
      </c>
      <c r="AH12" s="182">
        <v>9</v>
      </c>
      <c r="AI12" s="182">
        <v>14</v>
      </c>
      <c r="AJ12" s="202">
        <v>11</v>
      </c>
      <c r="AK12" s="181">
        <v>0</v>
      </c>
      <c r="AL12" s="182">
        <v>0</v>
      </c>
      <c r="AM12" s="182">
        <v>0</v>
      </c>
      <c r="AN12" s="188">
        <v>0</v>
      </c>
      <c r="AO12" s="258">
        <v>3</v>
      </c>
      <c r="AP12" s="154">
        <v>3</v>
      </c>
      <c r="AQ12" s="154">
        <v>3</v>
      </c>
      <c r="AR12" s="153">
        <v>3</v>
      </c>
      <c r="AS12" s="339" t="s">
        <v>766</v>
      </c>
      <c r="AT12" s="202"/>
      <c r="AU12" s="201"/>
      <c r="AV12" s="202"/>
      <c r="AW12" s="201"/>
      <c r="AX12" s="202"/>
      <c r="AY12" s="126">
        <f t="shared" si="1"/>
        <v>1957</v>
      </c>
      <c r="AZ12" s="127">
        <f t="shared" si="1"/>
        <v>1046</v>
      </c>
      <c r="BA12" s="127">
        <f t="shared" si="1"/>
        <v>829</v>
      </c>
      <c r="BB12" s="127">
        <f t="shared" si="1"/>
        <v>2174</v>
      </c>
      <c r="BC12" s="125">
        <f>IF(ISNUMBER(X12),X12," - ")</f>
        <v>526</v>
      </c>
      <c r="BD12" s="126">
        <f t="shared" si="2"/>
        <v>0.79254302103250474</v>
      </c>
      <c r="BE12" s="127">
        <f t="shared" si="3"/>
        <v>2.6224366706875752</v>
      </c>
      <c r="BF12" s="127">
        <f t="shared" si="4"/>
        <v>0.63449939686369117</v>
      </c>
      <c r="BG12" s="195">
        <f t="shared" si="5"/>
        <v>3.6224366706875752</v>
      </c>
      <c r="BH12" s="154">
        <v>3</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8" t="s">
        <v>827</v>
      </c>
      <c r="EP12" s="994"/>
      <c r="EQ12" s="994"/>
      <c r="ER12" s="995">
        <v>680</v>
      </c>
      <c r="ES12" s="994"/>
      <c r="ET12" s="1137"/>
      <c r="EU12" s="1137"/>
      <c r="EV12" s="1150"/>
      <c r="EW12" s="1150"/>
      <c r="EX12" s="288"/>
      <c r="EY12" s="288"/>
      <c r="EZ12" s="155"/>
    </row>
    <row r="13" spans="1:156" ht="14.25" customHeight="1" thickBot="1">
      <c r="A13" s="74" t="s">
        <v>0</v>
      </c>
      <c r="B13" s="75" t="s">
        <v>403</v>
      </c>
      <c r="C13" s="76" t="s">
        <v>4</v>
      </c>
      <c r="D13" s="77"/>
      <c r="E13" s="78"/>
      <c r="F13" s="78"/>
      <c r="G13" s="79"/>
      <c r="H13" s="80"/>
      <c r="I13" s="183">
        <f t="shared" ref="I13:AE13" si="6">SUBTOTAL(9,I8:I12)</f>
        <v>1460</v>
      </c>
      <c r="J13" s="183">
        <f t="shared" si="6"/>
        <v>590</v>
      </c>
      <c r="K13" s="183">
        <f t="shared" si="6"/>
        <v>605</v>
      </c>
      <c r="L13" s="183">
        <f t="shared" si="6"/>
        <v>1639</v>
      </c>
      <c r="M13" s="183">
        <f t="shared" si="6"/>
        <v>243</v>
      </c>
      <c r="N13" s="183">
        <f t="shared" si="6"/>
        <v>200</v>
      </c>
      <c r="O13" s="183">
        <f t="shared" si="6"/>
        <v>381</v>
      </c>
      <c r="P13" s="183">
        <f t="shared" si="6"/>
        <v>230</v>
      </c>
      <c r="Q13" s="183">
        <f t="shared" si="6"/>
        <v>279</v>
      </c>
      <c r="R13" s="183">
        <f t="shared" si="6"/>
        <v>2852</v>
      </c>
      <c r="S13" s="183">
        <f t="shared" si="6"/>
        <v>1941</v>
      </c>
      <c r="T13" s="183">
        <f t="shared" si="6"/>
        <v>1037</v>
      </c>
      <c r="U13" s="183">
        <f t="shared" si="6"/>
        <v>815</v>
      </c>
      <c r="V13" s="183">
        <f t="shared" si="6"/>
        <v>2163</v>
      </c>
      <c r="W13" s="183">
        <f t="shared" si="6"/>
        <v>169</v>
      </c>
      <c r="X13" s="183">
        <f t="shared" si="6"/>
        <v>526</v>
      </c>
      <c r="Y13" s="183">
        <f t="shared" si="6"/>
        <v>27</v>
      </c>
      <c r="Z13" s="183">
        <f t="shared" si="6"/>
        <v>25</v>
      </c>
      <c r="AA13" s="183">
        <f t="shared" si="6"/>
        <v>28</v>
      </c>
      <c r="AB13" s="183">
        <f t="shared" si="6"/>
        <v>24</v>
      </c>
      <c r="AC13" s="183">
        <f t="shared" si="6"/>
        <v>0</v>
      </c>
      <c r="AD13" s="183">
        <f t="shared" si="6"/>
        <v>0</v>
      </c>
      <c r="AE13" s="183">
        <f t="shared" si="6"/>
        <v>0</v>
      </c>
      <c r="AF13" s="183">
        <f>SUBTOTAL(9,AF9:AF12)</f>
        <v>0</v>
      </c>
      <c r="AG13" s="183">
        <f t="shared" ref="AG13:AT13" si="7">SUBTOTAL(9,AG8:AG12)</f>
        <v>16</v>
      </c>
      <c r="AH13" s="183">
        <f t="shared" si="7"/>
        <v>9</v>
      </c>
      <c r="AI13" s="183">
        <f t="shared" si="7"/>
        <v>14</v>
      </c>
      <c r="AJ13" s="183">
        <f t="shared" si="7"/>
        <v>11</v>
      </c>
      <c r="AK13" s="183">
        <f t="shared" si="7"/>
        <v>0</v>
      </c>
      <c r="AL13" s="183">
        <f t="shared" si="7"/>
        <v>0</v>
      </c>
      <c r="AM13" s="183">
        <f t="shared" si="7"/>
        <v>0</v>
      </c>
      <c r="AN13" s="183">
        <f t="shared" si="7"/>
        <v>0</v>
      </c>
      <c r="AO13" s="183">
        <f t="shared" si="7"/>
        <v>4</v>
      </c>
      <c r="AP13" s="183">
        <f t="shared" si="7"/>
        <v>3</v>
      </c>
      <c r="AQ13" s="183">
        <f t="shared" si="7"/>
        <v>3</v>
      </c>
      <c r="AR13" s="183">
        <f t="shared" si="7"/>
        <v>3</v>
      </c>
      <c r="AS13" s="183">
        <f t="shared" si="7"/>
        <v>0</v>
      </c>
      <c r="AT13" s="183">
        <f t="shared" si="7"/>
        <v>0</v>
      </c>
      <c r="AU13" s="203"/>
      <c r="AV13" s="132"/>
      <c r="AW13" s="203"/>
      <c r="AX13" s="132"/>
      <c r="AY13" s="183">
        <f>SUBTOTAL(9,AY8:AY12)</f>
        <v>1957</v>
      </c>
      <c r="AZ13" s="183">
        <f>SUBTOTAL(9,AZ8:AZ12)</f>
        <v>1046</v>
      </c>
      <c r="BA13" s="183">
        <f>SUBTOTAL(9,BA8:BA12)</f>
        <v>829</v>
      </c>
      <c r="BB13" s="183">
        <f>SUBTOTAL(9,BB8:BB12)</f>
        <v>2174</v>
      </c>
      <c r="BC13" s="183">
        <f>SUBTOTAL(9,BC8:BC12)</f>
        <v>526</v>
      </c>
      <c r="BD13" s="204">
        <f>IF(ISNUMBER(BA13/AZ13),BA13/AZ13," - ")</f>
        <v>0.79254302103250474</v>
      </c>
      <c r="BE13" s="205">
        <f>IF(ISNUMBER(BB13/BA13),BB13/BA13, " - ")</f>
        <v>2.6224366706875752</v>
      </c>
      <c r="BF13" s="205">
        <f>IF(ISNUMBER(BC13/BA13),BC13/BA13, " - ")</f>
        <v>0.63449939686369117</v>
      </c>
      <c r="BG13" s="206">
        <f>IF(ISNUMBER((AY13+AZ13)/BA13),(AY13+AZ13)/BA13," - ")</f>
        <v>3.6224366706875752</v>
      </c>
      <c r="BH13" s="139">
        <f>SUBTOTAL(9,BH8:BH12)</f>
        <v>4</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1013</v>
      </c>
      <c r="B15" s="21" t="s">
        <v>403</v>
      </c>
      <c r="C15" s="22" t="s">
        <v>3</v>
      </c>
      <c r="D15" s="23" t="s">
        <v>20</v>
      </c>
      <c r="E15" s="21" t="s">
        <v>22</v>
      </c>
      <c r="F15" s="21">
        <v>33</v>
      </c>
      <c r="G15" s="6" t="s">
        <v>140</v>
      </c>
      <c r="H15" s="24"/>
      <c r="I15" s="181" t="s">
        <v>487</v>
      </c>
      <c r="J15" s="182" t="s">
        <v>483</v>
      </c>
      <c r="K15" s="182" t="s">
        <v>484</v>
      </c>
      <c r="L15" s="182" t="s">
        <v>485</v>
      </c>
      <c r="M15" s="182" t="s">
        <v>490</v>
      </c>
      <c r="N15" s="182" t="s">
        <v>151</v>
      </c>
      <c r="O15" s="180" t="s">
        <v>226</v>
      </c>
      <c r="P15" s="182" t="s">
        <v>471</v>
      </c>
      <c r="Q15" s="182" t="s">
        <v>472</v>
      </c>
      <c r="R15" s="182" t="s">
        <v>473</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520</v>
      </c>
      <c r="AT15" s="202" t="s">
        <v>327</v>
      </c>
      <c r="AU15" s="201"/>
      <c r="AV15" s="202"/>
      <c r="AW15" s="201"/>
      <c r="AX15" s="202"/>
      <c r="AY15" s="128" t="str">
        <f t="shared" ref="AY15:BB17"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7"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8" t="s">
        <v>1004</v>
      </c>
      <c r="EP15" s="993"/>
      <c r="EQ15" s="993"/>
      <c r="ER15" s="997">
        <v>3300</v>
      </c>
      <c r="ES15" s="993"/>
      <c r="ET15" s="1137"/>
      <c r="EU15" s="1137"/>
      <c r="EV15" s="1150"/>
      <c r="EW15" s="1150"/>
      <c r="EX15" s="154"/>
      <c r="EY15" s="154"/>
      <c r="EZ15" s="154"/>
    </row>
    <row r="16" spans="1:156" ht="14.25" customHeight="1">
      <c r="A16" s="1193" t="s">
        <v>1018</v>
      </c>
      <c r="B16" s="21" t="s">
        <v>403</v>
      </c>
      <c r="C16" s="22" t="s">
        <v>3</v>
      </c>
      <c r="D16" s="23" t="s">
        <v>20</v>
      </c>
      <c r="E16" s="21" t="s">
        <v>214</v>
      </c>
      <c r="F16" s="21" t="s">
        <v>81</v>
      </c>
      <c r="G16" s="6" t="s">
        <v>140</v>
      </c>
      <c r="H16" s="24"/>
      <c r="I16" s="181" t="s">
        <v>487</v>
      </c>
      <c r="J16" s="182" t="s">
        <v>483</v>
      </c>
      <c r="K16" s="182" t="s">
        <v>484</v>
      </c>
      <c r="L16" s="182" t="s">
        <v>485</v>
      </c>
      <c r="M16" s="182" t="s">
        <v>490</v>
      </c>
      <c r="N16" s="182" t="s">
        <v>151</v>
      </c>
      <c r="O16" s="180" t="s">
        <v>226</v>
      </c>
      <c r="P16" s="182" t="s">
        <v>471</v>
      </c>
      <c r="Q16" s="182" t="s">
        <v>472</v>
      </c>
      <c r="R16" s="182" t="s">
        <v>473</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520</v>
      </c>
      <c r="AT16" s="202" t="s">
        <v>327</v>
      </c>
      <c r="AU16" s="201"/>
      <c r="AV16" s="202"/>
      <c r="AW16" s="201"/>
      <c r="AX16" s="202"/>
      <c r="AY16" s="128" t="str">
        <f t="shared" ref="AY16" si="11">IF(ISNUMBER(IF(D_I="SI",S16,S16+AK16)),IF(D_I="SI",S16,S16+AK16)," - ")</f>
        <v xml:space="preserve"> - </v>
      </c>
      <c r="AZ16" s="129" t="str">
        <f t="shared" ref="AZ16" si="12">IF(ISNUMBER(IF(D_I="SI",T16,T16+AL16)),IF(D_I="SI",T16,T16+AL16)," - ")</f>
        <v xml:space="preserve"> - </v>
      </c>
      <c r="BA16" s="129" t="str">
        <f t="shared" ref="BA16" si="13">IF(ISNUMBER(IF(D_I="SI",U16,U16+AM16)),IF(D_I="SI",U16,U16+AM16)," - ")</f>
        <v xml:space="preserve"> - </v>
      </c>
      <c r="BB16" s="129" t="str">
        <f t="shared" ref="BB16" si="14">IF(ISNUMBER(IF(D_I="SI",V16,V16+AN16)),IF(D_I="SI",V16,V16+AN16)," - ")</f>
        <v xml:space="preserve"> - </v>
      </c>
      <c r="BC16" s="125" t="str">
        <f>IF(ISNUMBER(W16),W16," - ")</f>
        <v xml:space="preserve"> - </v>
      </c>
      <c r="BD16" s="126" t="str">
        <f>IF(ISNUMBER(BA16/AZ16),BA16/AZ16," - ")</f>
        <v xml:space="preserve"> - </v>
      </c>
      <c r="BE16" s="127" t="str">
        <f>IF(ISNUMBER(BB16/BA16),BB16/BA16, " - ")</f>
        <v xml:space="preserve"> - </v>
      </c>
      <c r="BF16" s="127" t="str">
        <f>IF(ISNUMBER(BC16/BA16),BC16/BA16, " - ")</f>
        <v xml:space="preserve"> - </v>
      </c>
      <c r="BG16" s="195" t="str">
        <f t="shared" ref="BG16" si="15">IF(ISNUMBER((AY16+AZ16)/BA16),(AY16+AZ16)/BA16," - ")</f>
        <v xml:space="preserve"> - </v>
      </c>
      <c r="BH16" s="154">
        <v>0</v>
      </c>
      <c r="BI16" s="154"/>
      <c r="BJ16" s="201"/>
      <c r="BK16" s="154"/>
      <c r="BL16" s="154"/>
      <c r="BM16" s="154">
        <v>6650</v>
      </c>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v>1262</v>
      </c>
      <c r="CO16" s="154">
        <v>6600</v>
      </c>
      <c r="CP16" s="154">
        <v>1262</v>
      </c>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8" t="s">
        <v>1004</v>
      </c>
      <c r="EP16" s="993"/>
      <c r="EQ16" s="993"/>
      <c r="ER16" s="997">
        <v>3300</v>
      </c>
      <c r="ES16" s="993"/>
      <c r="ET16" s="1137"/>
      <c r="EU16" s="1137"/>
      <c r="EV16" s="1150"/>
      <c r="EW16" s="1150"/>
      <c r="EX16" s="154"/>
      <c r="EY16" s="154"/>
      <c r="EZ16" s="154"/>
    </row>
    <row r="17" spans="1:156" ht="14.25" customHeight="1">
      <c r="A17" s="20" t="s">
        <v>1014</v>
      </c>
      <c r="B17" s="21" t="s">
        <v>403</v>
      </c>
      <c r="C17" s="22" t="s">
        <v>3</v>
      </c>
      <c r="D17" s="23" t="s">
        <v>20</v>
      </c>
      <c r="E17" s="21" t="s">
        <v>20</v>
      </c>
      <c r="F17" s="21">
        <v>31</v>
      </c>
      <c r="G17" s="6" t="s">
        <v>140</v>
      </c>
      <c r="H17" s="24"/>
      <c r="I17" s="181">
        <v>1383</v>
      </c>
      <c r="J17" s="182">
        <v>303</v>
      </c>
      <c r="K17" s="182">
        <v>433</v>
      </c>
      <c r="L17" s="182">
        <v>1411</v>
      </c>
      <c r="M17" s="182">
        <v>90</v>
      </c>
      <c r="N17" s="182">
        <v>262</v>
      </c>
      <c r="O17" s="180">
        <v>0</v>
      </c>
      <c r="P17" s="182">
        <v>7</v>
      </c>
      <c r="Q17" s="182">
        <v>17</v>
      </c>
      <c r="R17" s="182">
        <v>51</v>
      </c>
      <c r="S17" s="182">
        <v>1634</v>
      </c>
      <c r="T17" s="182">
        <v>464</v>
      </c>
      <c r="U17" s="182">
        <v>495</v>
      </c>
      <c r="V17" s="182">
        <v>1603</v>
      </c>
      <c r="W17" s="182">
        <v>112</v>
      </c>
      <c r="X17" s="188">
        <v>191</v>
      </c>
      <c r="Y17" s="201">
        <v>0</v>
      </c>
      <c r="Z17" s="182">
        <v>0</v>
      </c>
      <c r="AA17" s="182">
        <v>0</v>
      </c>
      <c r="AB17" s="182">
        <v>0</v>
      </c>
      <c r="AC17" s="182">
        <v>0</v>
      </c>
      <c r="AD17" s="182">
        <v>0</v>
      </c>
      <c r="AE17" s="182">
        <v>0</v>
      </c>
      <c r="AF17" s="188">
        <v>0</v>
      </c>
      <c r="AG17" s="201">
        <v>0</v>
      </c>
      <c r="AH17" s="182">
        <v>0</v>
      </c>
      <c r="AI17" s="182">
        <v>0</v>
      </c>
      <c r="AJ17" s="202">
        <v>0</v>
      </c>
      <c r="AK17" s="181">
        <v>0</v>
      </c>
      <c r="AL17" s="182">
        <v>8</v>
      </c>
      <c r="AM17" s="182">
        <v>8</v>
      </c>
      <c r="AN17" s="188">
        <v>0</v>
      </c>
      <c r="AO17" s="258">
        <v>3</v>
      </c>
      <c r="AP17" s="154">
        <v>3</v>
      </c>
      <c r="AQ17" s="154">
        <v>3</v>
      </c>
      <c r="AR17" s="154">
        <v>3</v>
      </c>
      <c r="AS17" s="339" t="s">
        <v>486</v>
      </c>
      <c r="AT17" s="202"/>
      <c r="AU17" s="201"/>
      <c r="AV17" s="202"/>
      <c r="AW17" s="201"/>
      <c r="AX17" s="202"/>
      <c r="AY17" s="126">
        <f t="shared" si="9"/>
        <v>1634</v>
      </c>
      <c r="AZ17" s="127">
        <f t="shared" si="9"/>
        <v>464</v>
      </c>
      <c r="BA17" s="127">
        <f t="shared" si="9"/>
        <v>495</v>
      </c>
      <c r="BB17" s="127">
        <f t="shared" si="9"/>
        <v>1603</v>
      </c>
      <c r="BC17" s="125">
        <f>IF(ISNUMBER(W17),W17," - ")</f>
        <v>112</v>
      </c>
      <c r="BD17" s="126">
        <f t="shared" ref="BD17" si="16">IF(ISNUMBER(BA17/AZ17),BA17/AZ17," - ")</f>
        <v>1.0668103448275863</v>
      </c>
      <c r="BE17" s="127">
        <f t="shared" ref="BE17" si="17">IF(ISNUMBER(BB17/BA17),BB17/BA17, " - ")</f>
        <v>3.2383838383838386</v>
      </c>
      <c r="BF17" s="127">
        <f t="shared" ref="BF17" si="18">IF(ISNUMBER(BC17/BA17),BC17/BA17, " - ")</f>
        <v>0.22626262626262628</v>
      </c>
      <c r="BG17" s="195">
        <f t="shared" si="10"/>
        <v>4.2383838383838386</v>
      </c>
      <c r="BH17" s="154">
        <v>3</v>
      </c>
      <c r="BI17" s="154"/>
      <c r="BJ17" s="201"/>
      <c r="BK17" s="154"/>
      <c r="BL17" s="154"/>
      <c r="BM17" s="154">
        <v>2500</v>
      </c>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v>1088</v>
      </c>
      <c r="CO17" s="156">
        <v>2880</v>
      </c>
      <c r="CP17" s="154">
        <v>1088</v>
      </c>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8" t="s">
        <v>1015</v>
      </c>
      <c r="EP17" s="993"/>
      <c r="EQ17" s="993"/>
      <c r="ER17" s="997">
        <v>1000</v>
      </c>
      <c r="ES17" s="993"/>
      <c r="ET17" s="1137"/>
      <c r="EU17" s="1137"/>
      <c r="EV17" s="1150"/>
      <c r="EW17" s="1150"/>
      <c r="EX17" s="154"/>
      <c r="EY17" s="154"/>
      <c r="EZ17" s="154"/>
    </row>
    <row r="18" spans="1:156" ht="14.25" customHeight="1">
      <c r="A18" s="20" t="s">
        <v>1017</v>
      </c>
      <c r="B18" s="21" t="s">
        <v>403</v>
      </c>
      <c r="C18" s="22" t="s">
        <v>3</v>
      </c>
      <c r="D18" s="23" t="s">
        <v>82</v>
      </c>
      <c r="E18" s="21" t="s">
        <v>82</v>
      </c>
      <c r="F18" s="21" t="s">
        <v>141</v>
      </c>
      <c r="G18" s="6" t="s">
        <v>140</v>
      </c>
      <c r="H18" s="24"/>
      <c r="I18" s="181">
        <v>13</v>
      </c>
      <c r="J18" s="182">
        <v>0</v>
      </c>
      <c r="K18" s="182">
        <v>0</v>
      </c>
      <c r="L18" s="182">
        <v>13</v>
      </c>
      <c r="M18" s="182">
        <v>0</v>
      </c>
      <c r="N18" s="182">
        <v>0</v>
      </c>
      <c r="O18" s="182">
        <v>0</v>
      </c>
      <c r="P18" s="182">
        <v>0</v>
      </c>
      <c r="Q18" s="182">
        <v>0</v>
      </c>
      <c r="R18" s="182">
        <v>4</v>
      </c>
      <c r="S18" s="182">
        <v>30</v>
      </c>
      <c r="T18" s="182">
        <v>2</v>
      </c>
      <c r="U18" s="182">
        <v>14</v>
      </c>
      <c r="V18" s="182">
        <v>16</v>
      </c>
      <c r="W18" s="182">
        <v>0</v>
      </c>
      <c r="X18" s="188">
        <v>6</v>
      </c>
      <c r="Y18" s="201">
        <v>0</v>
      </c>
      <c r="Z18" s="182">
        <v>0</v>
      </c>
      <c r="AA18" s="182">
        <v>0</v>
      </c>
      <c r="AB18" s="182">
        <v>0</v>
      </c>
      <c r="AC18" s="182">
        <v>0</v>
      </c>
      <c r="AD18" s="182">
        <v>0</v>
      </c>
      <c r="AE18" s="182">
        <v>0</v>
      </c>
      <c r="AF18" s="188">
        <v>0</v>
      </c>
      <c r="AG18" s="201">
        <v>0</v>
      </c>
      <c r="AH18" s="182">
        <v>0</v>
      </c>
      <c r="AI18" s="182">
        <v>0</v>
      </c>
      <c r="AJ18" s="202">
        <v>0</v>
      </c>
      <c r="AK18" s="181">
        <v>0</v>
      </c>
      <c r="AL18" s="182">
        <v>0</v>
      </c>
      <c r="AM18" s="182">
        <v>0</v>
      </c>
      <c r="AN18" s="188">
        <v>0</v>
      </c>
      <c r="AO18" s="258">
        <v>1</v>
      </c>
      <c r="AP18" s="154">
        <v>0</v>
      </c>
      <c r="AQ18" s="153">
        <v>0</v>
      </c>
      <c r="AR18" s="154">
        <v>0</v>
      </c>
      <c r="AS18" s="338" t="s">
        <v>880</v>
      </c>
      <c r="AT18" s="208"/>
      <c r="AU18" s="199"/>
      <c r="AV18" s="208"/>
      <c r="AW18" s="199"/>
      <c r="AX18" s="208"/>
      <c r="AY18" s="128">
        <f t="shared" ref="AY18:BB18" si="19">IF(ISNUMBER(S18),S18," - ")</f>
        <v>30</v>
      </c>
      <c r="AZ18" s="129">
        <f t="shared" si="19"/>
        <v>2</v>
      </c>
      <c r="BA18" s="129">
        <f t="shared" si="19"/>
        <v>14</v>
      </c>
      <c r="BB18" s="129">
        <f t="shared" si="19"/>
        <v>16</v>
      </c>
      <c r="BC18" s="125">
        <f>IF(ISNUMBER(W18),W18," - ")</f>
        <v>0</v>
      </c>
      <c r="BD18" s="126">
        <f>IF(ISNUMBER(BA18/AZ18),BA18/AZ18," - ")</f>
        <v>7</v>
      </c>
      <c r="BE18" s="127">
        <f>IF(ISNUMBER(BB18/BA18),BB18/BA18, " - ")</f>
        <v>1.1428571428571428</v>
      </c>
      <c r="BF18" s="127">
        <f>IF(ISNUMBER(BC18/BA18),BC18/BA18, " - ")</f>
        <v>0</v>
      </c>
      <c r="BG18" s="195">
        <f>IF(ISNUMBER((AY18+AZ18)/BA18),(AY18+AZ18)/BA18," - ")</f>
        <v>2.2857142857142856</v>
      </c>
      <c r="BH18" s="154">
        <v>1</v>
      </c>
      <c r="BI18" s="154"/>
      <c r="BJ18" s="199"/>
      <c r="BK18" s="153"/>
      <c r="BL18" s="153"/>
      <c r="BM18" s="153">
        <v>1800</v>
      </c>
      <c r="BN18" s="153"/>
      <c r="BO18" s="153"/>
      <c r="BP18" s="153"/>
      <c r="BQ18" s="153"/>
      <c r="BR18" s="153"/>
      <c r="BS18" s="153"/>
      <c r="BT18" s="153"/>
      <c r="BU18" s="153"/>
      <c r="BV18" s="153"/>
      <c r="BW18" s="153"/>
      <c r="BX18" s="153"/>
      <c r="BY18" s="173" t="s">
        <v>1005</v>
      </c>
      <c r="BZ18" s="173" t="s">
        <v>1006</v>
      </c>
      <c r="CA18" s="153"/>
      <c r="CB18" s="153"/>
      <c r="CC18" s="153"/>
      <c r="CD18" s="153"/>
      <c r="CE18" s="153"/>
      <c r="CF18" s="153"/>
      <c r="CG18" s="153"/>
      <c r="CH18" s="153"/>
      <c r="CI18" s="153"/>
      <c r="CJ18" s="153"/>
      <c r="CK18" s="153"/>
      <c r="CL18" s="153"/>
      <c r="CM18" s="153"/>
      <c r="CN18" s="153">
        <v>1175</v>
      </c>
      <c r="CO18" s="153">
        <v>1800</v>
      </c>
      <c r="CP18" s="153">
        <v>1175</v>
      </c>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t="s">
        <v>879</v>
      </c>
      <c r="EP18" s="338"/>
      <c r="EQ18" s="338"/>
      <c r="ER18" s="996">
        <v>1600</v>
      </c>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20">SUBTOTAL(9,I14:I18)</f>
        <v>1396</v>
      </c>
      <c r="J19" s="183">
        <f t="shared" si="20"/>
        <v>303</v>
      </c>
      <c r="K19" s="183">
        <f t="shared" si="20"/>
        <v>433</v>
      </c>
      <c r="L19" s="183">
        <f t="shared" si="20"/>
        <v>1424</v>
      </c>
      <c r="M19" s="183">
        <f t="shared" si="20"/>
        <v>90</v>
      </c>
      <c r="N19" s="183">
        <f t="shared" si="20"/>
        <v>262</v>
      </c>
      <c r="O19" s="183">
        <f t="shared" si="20"/>
        <v>0</v>
      </c>
      <c r="P19" s="183">
        <f t="shared" si="20"/>
        <v>7</v>
      </c>
      <c r="Q19" s="183">
        <f t="shared" si="20"/>
        <v>17</v>
      </c>
      <c r="R19" s="183">
        <f t="shared" si="20"/>
        <v>55</v>
      </c>
      <c r="S19" s="183">
        <f t="shared" si="20"/>
        <v>1664</v>
      </c>
      <c r="T19" s="183">
        <f t="shared" si="20"/>
        <v>466</v>
      </c>
      <c r="U19" s="183">
        <f t="shared" si="20"/>
        <v>509</v>
      </c>
      <c r="V19" s="183">
        <f t="shared" si="20"/>
        <v>1619</v>
      </c>
      <c r="W19" s="183">
        <f t="shared" si="20"/>
        <v>112</v>
      </c>
      <c r="X19" s="183">
        <f t="shared" si="20"/>
        <v>197</v>
      </c>
      <c r="Y19" s="183">
        <f t="shared" si="20"/>
        <v>0</v>
      </c>
      <c r="Z19" s="183">
        <f t="shared" si="20"/>
        <v>0</v>
      </c>
      <c r="AA19" s="183">
        <f t="shared" si="20"/>
        <v>0</v>
      </c>
      <c r="AB19" s="183">
        <f t="shared" si="20"/>
        <v>0</v>
      </c>
      <c r="AC19" s="183">
        <f t="shared" si="20"/>
        <v>0</v>
      </c>
      <c r="AD19" s="183">
        <f t="shared" si="20"/>
        <v>0</v>
      </c>
      <c r="AE19" s="183">
        <f t="shared" si="20"/>
        <v>0</v>
      </c>
      <c r="AF19" s="183">
        <f t="shared" si="20"/>
        <v>0</v>
      </c>
      <c r="AG19" s="183">
        <f t="shared" si="20"/>
        <v>0</v>
      </c>
      <c r="AH19" s="183">
        <f t="shared" si="20"/>
        <v>0</v>
      </c>
      <c r="AI19" s="183">
        <f t="shared" si="20"/>
        <v>0</v>
      </c>
      <c r="AJ19" s="183">
        <f t="shared" si="20"/>
        <v>0</v>
      </c>
      <c r="AK19" s="183">
        <f t="shared" si="20"/>
        <v>0</v>
      </c>
      <c r="AL19" s="183">
        <f t="shared" si="20"/>
        <v>8</v>
      </c>
      <c r="AM19" s="183">
        <f t="shared" si="20"/>
        <v>8</v>
      </c>
      <c r="AN19" s="183">
        <f t="shared" si="20"/>
        <v>0</v>
      </c>
      <c r="AO19" s="183">
        <f t="shared" si="20"/>
        <v>4</v>
      </c>
      <c r="AP19" s="183">
        <f t="shared" si="20"/>
        <v>3</v>
      </c>
      <c r="AQ19" s="183">
        <f t="shared" si="20"/>
        <v>3</v>
      </c>
      <c r="AR19" s="183">
        <f t="shared" si="20"/>
        <v>3</v>
      </c>
      <c r="AS19" s="183">
        <f t="shared" si="20"/>
        <v>0</v>
      </c>
      <c r="AT19" s="183">
        <f t="shared" si="20"/>
        <v>0</v>
      </c>
      <c r="AU19" s="203"/>
      <c r="AV19" s="132"/>
      <c r="AW19" s="203"/>
      <c r="AX19" s="132"/>
      <c r="AY19" s="183">
        <f>SUBTOTAL(9,AY14:AY18)</f>
        <v>1664</v>
      </c>
      <c r="AZ19" s="183">
        <f>SUBTOTAL(9,AZ14:AZ18)</f>
        <v>466</v>
      </c>
      <c r="BA19" s="183">
        <f>SUBTOTAL(9,BA14:BA18)</f>
        <v>509</v>
      </c>
      <c r="BB19" s="183">
        <f>SUBTOTAL(9,BB14:BB18)</f>
        <v>1619</v>
      </c>
      <c r="BC19" s="183">
        <f>SUBTOTAL(9,BC14:BC18)</f>
        <v>112</v>
      </c>
      <c r="BD19" s="204">
        <f>IF(ISNUMBER(BA19/AZ19),BA19/AZ19," - ")</f>
        <v>1.092274678111588</v>
      </c>
      <c r="BE19" s="205">
        <f>IF(ISNUMBER(BB19/BA19),BB19/BA19, " - ")</f>
        <v>3.1807465618860511</v>
      </c>
      <c r="BF19" s="205">
        <f>IF(ISNUMBER(BC19/BA19),BC19/BA19, " - ")</f>
        <v>0.2200392927308448</v>
      </c>
      <c r="BG19" s="206">
        <f>IF(ISNUMBER((AY19+AZ19)/BA19),(AY19+AZ19)/BA19," - ")</f>
        <v>4.1846758349705304</v>
      </c>
      <c r="BH19" s="183">
        <f>SUBTOTAL(9,BH14:BH18)</f>
        <v>4</v>
      </c>
      <c r="BI19" s="183">
        <f>SUBTOTAL(9,BI14:BI18)</f>
        <v>0</v>
      </c>
      <c r="BJ19" s="183">
        <f>SUBTOTAL(9,BJ14:BJ18)</f>
        <v>0</v>
      </c>
      <c r="BK19" s="183">
        <f>SUBTOTAL(9,BK14:BK18)</f>
        <v>0</v>
      </c>
      <c r="BL19" s="183">
        <f>SUBTOTAL(9,BL14:BL18)</f>
        <v>0</v>
      </c>
      <c r="BM19" s="139">
        <f>AVERAGE(BM15:BM18)</f>
        <v>4400</v>
      </c>
      <c r="BN19" s="150"/>
      <c r="BO19" s="150"/>
      <c r="BP19" s="150"/>
      <c r="BQ19" s="150"/>
      <c r="BR19" s="150"/>
      <c r="BS19" s="150"/>
      <c r="BT19" s="150"/>
      <c r="BU19" s="150"/>
      <c r="BV19" s="183"/>
      <c r="BW19" s="183"/>
      <c r="BX19" s="183"/>
      <c r="BY19" s="150"/>
      <c r="BZ19" s="150"/>
      <c r="CA19" s="183">
        <f t="shared" ref="CA19:CL19" si="21">SUBTOTAL(9,CA14:CA18)</f>
        <v>0</v>
      </c>
      <c r="CB19" s="183">
        <f t="shared" si="21"/>
        <v>0</v>
      </c>
      <c r="CC19" s="183">
        <f t="shared" si="21"/>
        <v>0</v>
      </c>
      <c r="CD19" s="183">
        <f t="shared" si="21"/>
        <v>0</v>
      </c>
      <c r="CE19" s="183">
        <f t="shared" si="21"/>
        <v>0</v>
      </c>
      <c r="CF19" s="183">
        <f t="shared" si="21"/>
        <v>0</v>
      </c>
      <c r="CG19" s="183">
        <f t="shared" si="21"/>
        <v>0</v>
      </c>
      <c r="CH19" s="183">
        <f t="shared" si="21"/>
        <v>0</v>
      </c>
      <c r="CI19" s="183">
        <f t="shared" si="21"/>
        <v>0</v>
      </c>
      <c r="CJ19" s="183">
        <f t="shared" si="21"/>
        <v>0</v>
      </c>
      <c r="CK19" s="183">
        <f t="shared" si="21"/>
        <v>0</v>
      </c>
      <c r="CL19" s="183">
        <f t="shared" si="21"/>
        <v>0</v>
      </c>
      <c r="CM19" s="295"/>
      <c r="CN19" s="150"/>
      <c r="CO19" s="150"/>
      <c r="CP19" s="150"/>
      <c r="CQ19" s="150"/>
      <c r="CR19" s="150"/>
      <c r="CS19" s="150"/>
      <c r="CT19" s="150"/>
      <c r="CU19" s="150"/>
      <c r="CV19" s="183">
        <f>SUBTOTAL(9,CV15:CV18)</f>
        <v>0</v>
      </c>
      <c r="CW19" s="183">
        <f>SUBTOTAL(9,CW15:CW18)</f>
        <v>0</v>
      </c>
      <c r="CX19" s="183"/>
      <c r="CY19" s="183">
        <f t="shared" ref="CY19:EN19" si="22">SUBTOTAL(9,CY15:CY18)</f>
        <v>0</v>
      </c>
      <c r="CZ19" s="183">
        <f t="shared" si="22"/>
        <v>0</v>
      </c>
      <c r="DA19" s="183">
        <f t="shared" si="22"/>
        <v>0</v>
      </c>
      <c r="DB19" s="183">
        <f t="shared" si="22"/>
        <v>0</v>
      </c>
      <c r="DC19" s="183">
        <f t="shared" si="22"/>
        <v>0</v>
      </c>
      <c r="DD19" s="183">
        <f t="shared" si="22"/>
        <v>0</v>
      </c>
      <c r="DE19" s="183">
        <f t="shared" si="22"/>
        <v>0</v>
      </c>
      <c r="DF19" s="183">
        <f t="shared" si="22"/>
        <v>0</v>
      </c>
      <c r="DG19" s="183">
        <f t="shared" si="22"/>
        <v>0</v>
      </c>
      <c r="DH19" s="183">
        <f t="shared" si="22"/>
        <v>0</v>
      </c>
      <c r="DI19" s="183">
        <f t="shared" si="22"/>
        <v>0</v>
      </c>
      <c r="DJ19" s="183">
        <f t="shared" si="22"/>
        <v>0</v>
      </c>
      <c r="DK19" s="183">
        <f t="shared" si="22"/>
        <v>0</v>
      </c>
      <c r="DL19" s="183">
        <f t="shared" si="22"/>
        <v>0</v>
      </c>
      <c r="DM19" s="183">
        <f t="shared" si="22"/>
        <v>0</v>
      </c>
      <c r="DN19" s="183">
        <f t="shared" si="22"/>
        <v>0</v>
      </c>
      <c r="DO19" s="183">
        <f t="shared" si="22"/>
        <v>0</v>
      </c>
      <c r="DP19" s="183">
        <f t="shared" si="22"/>
        <v>0</v>
      </c>
      <c r="DQ19" s="183">
        <f t="shared" si="22"/>
        <v>0</v>
      </c>
      <c r="DR19" s="183">
        <f t="shared" si="22"/>
        <v>0</v>
      </c>
      <c r="DS19" s="183">
        <f t="shared" si="22"/>
        <v>0</v>
      </c>
      <c r="DT19" s="183">
        <f t="shared" si="22"/>
        <v>0</v>
      </c>
      <c r="DU19" s="183">
        <f t="shared" si="22"/>
        <v>0</v>
      </c>
      <c r="DV19" s="634">
        <f t="shared" si="22"/>
        <v>0</v>
      </c>
      <c r="DW19" s="634">
        <f t="shared" si="22"/>
        <v>0</v>
      </c>
      <c r="DX19" s="634">
        <f t="shared" si="22"/>
        <v>0</v>
      </c>
      <c r="DY19" s="634">
        <f t="shared" si="22"/>
        <v>0</v>
      </c>
      <c r="DZ19" s="183">
        <f t="shared" si="22"/>
        <v>0</v>
      </c>
      <c r="EA19" s="183">
        <f t="shared" si="22"/>
        <v>0</v>
      </c>
      <c r="EB19" s="183">
        <f t="shared" si="22"/>
        <v>0</v>
      </c>
      <c r="EC19" s="183">
        <f t="shared" si="22"/>
        <v>0</v>
      </c>
      <c r="ED19" s="183">
        <f t="shared" si="22"/>
        <v>0</v>
      </c>
      <c r="EE19" s="183">
        <f t="shared" si="22"/>
        <v>0</v>
      </c>
      <c r="EF19" s="183">
        <f t="shared" si="22"/>
        <v>0</v>
      </c>
      <c r="EG19" s="183">
        <f t="shared" si="22"/>
        <v>0</v>
      </c>
      <c r="EH19" s="183">
        <f t="shared" si="22"/>
        <v>0</v>
      </c>
      <c r="EI19" s="183">
        <f t="shared" si="22"/>
        <v>0</v>
      </c>
      <c r="EJ19" s="183">
        <f t="shared" si="22"/>
        <v>0</v>
      </c>
      <c r="EK19" s="183">
        <f t="shared" si="22"/>
        <v>0</v>
      </c>
      <c r="EL19" s="183">
        <f t="shared" si="22"/>
        <v>0</v>
      </c>
      <c r="EM19" s="183">
        <f t="shared" si="22"/>
        <v>0</v>
      </c>
      <c r="EN19" s="183">
        <f t="shared" si="22"/>
        <v>0</v>
      </c>
      <c r="EO19" s="321"/>
      <c r="EP19" s="634">
        <f>SUBTOTAL(9,EP15:EP18)</f>
        <v>0</v>
      </c>
      <c r="EQ19" s="634">
        <f>SUBTOTAL(9,EQ15:EQ18)</f>
        <v>0</v>
      </c>
      <c r="ER19" s="150">
        <f>AVERAGE(ER15:ER18)</f>
        <v>2300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23">SUBTOTAL(9,I9:I19)</f>
        <v>2856</v>
      </c>
      <c r="J20" s="134">
        <f t="shared" si="23"/>
        <v>893</v>
      </c>
      <c r="K20" s="134">
        <f t="shared" si="23"/>
        <v>1038</v>
      </c>
      <c r="L20" s="134">
        <f t="shared" si="23"/>
        <v>3063</v>
      </c>
      <c r="M20" s="134">
        <f t="shared" si="23"/>
        <v>333</v>
      </c>
      <c r="N20" s="134">
        <f t="shared" si="23"/>
        <v>462</v>
      </c>
      <c r="O20" s="134">
        <f t="shared" si="23"/>
        <v>381</v>
      </c>
      <c r="P20" s="134">
        <f t="shared" si="23"/>
        <v>237</v>
      </c>
      <c r="Q20" s="134">
        <f t="shared" si="23"/>
        <v>296</v>
      </c>
      <c r="R20" s="134">
        <f t="shared" si="23"/>
        <v>2907</v>
      </c>
      <c r="S20" s="134">
        <f t="shared" si="23"/>
        <v>3605</v>
      </c>
      <c r="T20" s="134">
        <f t="shared" si="23"/>
        <v>1503</v>
      </c>
      <c r="U20" s="134">
        <f t="shared" si="23"/>
        <v>1324</v>
      </c>
      <c r="V20" s="134">
        <f t="shared" si="23"/>
        <v>3782</v>
      </c>
      <c r="W20" s="134">
        <f t="shared" si="23"/>
        <v>281</v>
      </c>
      <c r="X20" s="134">
        <f t="shared" si="23"/>
        <v>723</v>
      </c>
      <c r="Y20" s="134">
        <f t="shared" si="23"/>
        <v>27</v>
      </c>
      <c r="Z20" s="134">
        <f t="shared" si="23"/>
        <v>25</v>
      </c>
      <c r="AA20" s="134">
        <f t="shared" si="23"/>
        <v>28</v>
      </c>
      <c r="AB20" s="134">
        <f t="shared" si="23"/>
        <v>24</v>
      </c>
      <c r="AC20" s="134">
        <f t="shared" si="23"/>
        <v>0</v>
      </c>
      <c r="AD20" s="134">
        <f t="shared" si="23"/>
        <v>0</v>
      </c>
      <c r="AE20" s="134">
        <f t="shared" si="23"/>
        <v>0</v>
      </c>
      <c r="AF20" s="134">
        <f t="shared" si="23"/>
        <v>0</v>
      </c>
      <c r="AG20" s="134">
        <f t="shared" si="23"/>
        <v>16</v>
      </c>
      <c r="AH20" s="134">
        <f t="shared" si="23"/>
        <v>9</v>
      </c>
      <c r="AI20" s="134">
        <f t="shared" si="23"/>
        <v>14</v>
      </c>
      <c r="AJ20" s="134">
        <f t="shared" si="23"/>
        <v>11</v>
      </c>
      <c r="AK20" s="134">
        <f t="shared" si="23"/>
        <v>0</v>
      </c>
      <c r="AL20" s="134">
        <f t="shared" si="23"/>
        <v>8</v>
      </c>
      <c r="AM20" s="134">
        <f t="shared" si="23"/>
        <v>8</v>
      </c>
      <c r="AN20" s="209">
        <f t="shared" si="23"/>
        <v>0</v>
      </c>
      <c r="AO20" s="210">
        <v>4</v>
      </c>
      <c r="AP20" s="210">
        <v>3</v>
      </c>
      <c r="AQ20" s="210">
        <v>3</v>
      </c>
      <c r="AR20" s="210">
        <v>3</v>
      </c>
      <c r="AS20" s="152">
        <f t="shared" si="23"/>
        <v>0</v>
      </c>
      <c r="AT20" s="152">
        <f t="shared" si="23"/>
        <v>0</v>
      </c>
      <c r="AU20" s="210"/>
      <c r="AV20" s="211"/>
      <c r="AW20" s="210"/>
      <c r="AX20" s="211"/>
      <c r="AY20" s="133">
        <f>SUBTOTAL(9,AY9:AY19)</f>
        <v>3621</v>
      </c>
      <c r="AZ20" s="134">
        <f>SUBTOTAL(9,AZ9:AZ19)</f>
        <v>1512</v>
      </c>
      <c r="BA20" s="134">
        <f>SUBTOTAL(9,BA9:BA19)</f>
        <v>1338</v>
      </c>
      <c r="BB20" s="134">
        <f>SUBTOTAL(9,BB9:BB19)</f>
        <v>3793</v>
      </c>
      <c r="BC20" s="135">
        <f>SUBTOTAL(9,BC9:BC19)</f>
        <v>638</v>
      </c>
      <c r="BD20" s="212">
        <f>IF(ISNUMBER(BA20/AZ20),BA20/AZ20," - ")</f>
        <v>0.88492063492063489</v>
      </c>
      <c r="BE20" s="209">
        <f>IF(ISNUMBER(BB20/BA20),BB20/BA20, " - ")</f>
        <v>2.8348281016442449</v>
      </c>
      <c r="BF20" s="209">
        <f>IF(ISNUMBER(BC20/BA20),BC20/BA20, " - ")</f>
        <v>0.47683109118086697</v>
      </c>
      <c r="BG20" s="135">
        <f>IF(ISNUMBER((AY20+AZ20)/BA20),(AY20+AZ20)/BA20," - ")</f>
        <v>3.8363228699551568</v>
      </c>
      <c r="BH20" s="210">
        <f>SUBTOTAL(9,BH9:BH19)</f>
        <v>8</v>
      </c>
      <c r="BI20" s="210">
        <v>0</v>
      </c>
      <c r="BJ20" s="210"/>
      <c r="BK20" s="210">
        <f>SUBTOTAL(9,BK9:BK19)</f>
        <v>0</v>
      </c>
      <c r="BL20" s="210"/>
      <c r="BM20" s="210">
        <f>AVERAGE(BM9:BM19)</f>
        <v>2462.5</v>
      </c>
      <c r="BN20" s="210"/>
      <c r="BO20" s="210"/>
      <c r="BP20" s="210"/>
      <c r="BQ20" s="210"/>
      <c r="BR20" s="210"/>
      <c r="BS20" s="210"/>
      <c r="BT20" s="210"/>
      <c r="BU20" s="210"/>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f>SUBTOTAL(9,CN9:CN19)</f>
        <v>10335.75</v>
      </c>
      <c r="CO20" s="210">
        <f>SUBTOTAL(9,CO9:CO19)</f>
        <v>23630</v>
      </c>
      <c r="CP20" s="210">
        <f>SUBTOTAL(9,CP9:CP19)</f>
        <v>10335.75</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N20" si="24">SUBTOTAL(9,DM9:DM19)</f>
        <v>0</v>
      </c>
      <c r="DN20" s="152">
        <f t="shared" si="24"/>
        <v>0</v>
      </c>
      <c r="DO20" s="152">
        <f t="shared" si="24"/>
        <v>0</v>
      </c>
      <c r="DP20" s="152">
        <f t="shared" si="24"/>
        <v>0</v>
      </c>
      <c r="DQ20" s="152">
        <f t="shared" si="24"/>
        <v>0</v>
      </c>
      <c r="DR20" s="152">
        <f t="shared" si="24"/>
        <v>0</v>
      </c>
      <c r="DS20" s="152">
        <f t="shared" si="24"/>
        <v>0</v>
      </c>
      <c r="DT20" s="152">
        <f t="shared" si="24"/>
        <v>0</v>
      </c>
      <c r="DU20" s="152">
        <f t="shared" si="24"/>
        <v>0</v>
      </c>
      <c r="DV20" s="152">
        <f t="shared" si="24"/>
        <v>0</v>
      </c>
      <c r="DW20" s="152">
        <f t="shared" si="24"/>
        <v>0</v>
      </c>
      <c r="DX20" s="152">
        <f t="shared" si="24"/>
        <v>0</v>
      </c>
      <c r="DY20" s="152">
        <f t="shared" si="24"/>
        <v>0</v>
      </c>
      <c r="DZ20" s="152">
        <f t="shared" si="24"/>
        <v>0</v>
      </c>
      <c r="EA20" s="152">
        <f t="shared" si="24"/>
        <v>0</v>
      </c>
      <c r="EB20" s="152">
        <f t="shared" si="24"/>
        <v>0</v>
      </c>
      <c r="EC20" s="152">
        <f t="shared" si="24"/>
        <v>0</v>
      </c>
      <c r="ED20" s="152">
        <f t="shared" si="24"/>
        <v>0</v>
      </c>
      <c r="EE20" s="152">
        <f t="shared" si="24"/>
        <v>0</v>
      </c>
      <c r="EF20" s="152">
        <f t="shared" si="24"/>
        <v>0</v>
      </c>
      <c r="EG20" s="152">
        <f t="shared" si="24"/>
        <v>0</v>
      </c>
      <c r="EH20" s="152">
        <f t="shared" si="24"/>
        <v>0</v>
      </c>
      <c r="EI20" s="152">
        <f t="shared" si="24"/>
        <v>0</v>
      </c>
      <c r="EJ20" s="152">
        <f t="shared" si="24"/>
        <v>0</v>
      </c>
      <c r="EK20" s="152">
        <f t="shared" si="24"/>
        <v>0</v>
      </c>
      <c r="EL20" s="152">
        <f t="shared" si="24"/>
        <v>0</v>
      </c>
      <c r="EM20" s="152">
        <f t="shared" si="24"/>
        <v>0</v>
      </c>
      <c r="EN20" s="152">
        <f t="shared" si="24"/>
        <v>0</v>
      </c>
      <c r="EO20" s="327"/>
      <c r="EP20" s="152">
        <f>SUBTOTAL(9,EP9:EP19)</f>
        <v>0</v>
      </c>
      <c r="EQ20" s="152">
        <f>SUBTOTAL(9,EQ9:EQ19)</f>
        <v>0</v>
      </c>
      <c r="ER20" s="150">
        <f>AVERAGE(ER9:ER19)</f>
        <v>1729.3200000000002</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CR+S7DDK4itQ88wsjzHOlaW14quDwNrztOoQvPXXVTpmJsckTPAbBfxxbLHRUiikycUhKIRMGj5sJ/8AxMKtRQ==" saltValue="3ojFA9q89IfadO7tssAnZg=="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9:R9 Y9:AB9 AP10 AR10 BH10:BI11 Y11:AB12 AO11:AS11 AU11 BK11:BU11 CE11:CJ11 CS11:DG11 I11:R12 I15:R18 BK17:CJ17 CO17 CS17:DD17 EV17:EW17 AO17:AO18 BH17:BI18 AP18 AR18">
    <cfRule type="cellIs" dxfId="710" priority="670" stopIfTrue="1" operator="equal">
      <formula>$A$31</formula>
    </cfRule>
  </conditionalFormatting>
  <conditionalFormatting sqref="I13:BC14 I19:BC19 EO19:EQ19 I20:EQ20 EX20:EZ20">
    <cfRule type="cellIs" dxfId="709" priority="1753" stopIfTrue="1" operator="equal">
      <formula>$A$32</formula>
    </cfRule>
  </conditionalFormatting>
  <conditionalFormatting sqref="I1:DG1">
    <cfRule type="cellIs" dxfId="708" priority="2054" stopIfTrue="1" operator="equal">
      <formula>$A$32</formula>
    </cfRule>
  </conditionalFormatting>
  <conditionalFormatting sqref="I8:EZ8">
    <cfRule type="cellIs" dxfId="707" priority="14" stopIfTrue="1" operator="equal">
      <formula>$A$32</formula>
    </cfRule>
  </conditionalFormatting>
  <conditionalFormatting sqref="CK17:CR18 AS17:AX18 EO18 EP9:EQ12 AP9 AR9:AX9 BH9:BI9 AO9:AO10 AQ9:AQ10 BK9:CJ10 CS9:CU10 S9:X12 AC9:AN12 BJ9:BJ12 CK9:CR12 EO10 Y10:AB10 BV11:BX11 CA11:CD11 AO12:AR12 BH12:BI12 CS12:CU12 S15:AX16 BH15:DL16 CV17:DL18 S17:AN18 BJ17:BJ18 AQ18 CS18:CU18 AS9:AX12 CV9:EN12 ES9:ES12 EV9:EZ12">
    <cfRule type="cellIs" dxfId="706" priority="553" stopIfTrue="1" operator="equal">
      <formula>$A$32</formula>
    </cfRule>
  </conditionalFormatting>
  <conditionalFormatting sqref="AP17:AS17">
    <cfRule type="cellIs" dxfId="705" priority="1848" stopIfTrue="1" operator="equal">
      <formula>$A$31</formula>
    </cfRule>
  </conditionalFormatting>
  <conditionalFormatting sqref="AS15:AS17">
    <cfRule type="cellIs" dxfId="704" priority="1772" stopIfTrue="1" operator="equal">
      <formula>$A$31</formula>
    </cfRule>
    <cfRule type="cellIs" dxfId="703" priority="1844" stopIfTrue="1" operator="equal">
      <formula>$A$31</formula>
    </cfRule>
  </conditionalFormatting>
  <conditionalFormatting sqref="AS15:AS18">
    <cfRule type="cellIs" dxfId="702" priority="1840" stopIfTrue="1" operator="equal">
      <formula>$A$32</formula>
    </cfRule>
    <cfRule type="cellIs" dxfId="701" priority="1843" stopIfTrue="1" operator="equal">
      <formula>$A$32</formula>
    </cfRule>
  </conditionalFormatting>
  <conditionalFormatting sqref="AS17">
    <cfRule type="cellIs" dxfId="700" priority="1841" stopIfTrue="1" operator="equal">
      <formula>$A$31</formula>
    </cfRule>
  </conditionalFormatting>
  <conditionalFormatting sqref="AU15:AU16">
    <cfRule type="cellIs" dxfId="699" priority="1525" stopIfTrue="1" operator="equal">
      <formula>$A$32</formula>
    </cfRule>
    <cfRule type="cellIs" dxfId="698" priority="1527" stopIfTrue="1" operator="equal">
      <formula>$A$31</formula>
    </cfRule>
    <cfRule type="cellIs" dxfId="697" priority="1528" stopIfTrue="1" operator="equal">
      <formula>$A$32</formula>
    </cfRule>
    <cfRule type="cellIs" dxfId="696" priority="1530" stopIfTrue="1" operator="equal">
      <formula>$A$31</formula>
    </cfRule>
    <cfRule type="cellIs" dxfId="695" priority="1531" stopIfTrue="1" operator="equal">
      <formula>$A$32</formula>
    </cfRule>
    <cfRule type="cellIs" dxfId="694" priority="1533" stopIfTrue="1" operator="equal">
      <formula>$A$31</formula>
    </cfRule>
    <cfRule type="cellIs" dxfId="693" priority="1534" stopIfTrue="1" operator="equal">
      <formula>$A$32</formula>
    </cfRule>
    <cfRule type="cellIs" dxfId="692" priority="1536" stopIfTrue="1" operator="equal">
      <formula>$A$31</formula>
    </cfRule>
    <cfRule type="cellIs" dxfId="691" priority="1537" stopIfTrue="1" operator="equal">
      <formula>$A$32</formula>
    </cfRule>
    <cfRule type="cellIs" dxfId="690" priority="1539" stopIfTrue="1" operator="equal">
      <formula>$A$31</formula>
    </cfRule>
    <cfRule type="cellIs" dxfId="689" priority="1540" stopIfTrue="1" operator="equal">
      <formula>$A$32</formula>
    </cfRule>
    <cfRule type="cellIs" dxfId="688" priority="1542" stopIfTrue="1" operator="equal">
      <formula>$A$31</formula>
    </cfRule>
    <cfRule type="cellIs" dxfId="687" priority="1543" stopIfTrue="1" operator="equal">
      <formula>$A$32</formula>
    </cfRule>
  </conditionalFormatting>
  <conditionalFormatting sqref="AU15:AU17">
    <cfRule type="cellIs" dxfId="686" priority="1496" stopIfTrue="1" operator="equal">
      <formula>$A$31</formula>
    </cfRule>
    <cfRule type="cellIs" dxfId="685" priority="1686" stopIfTrue="1" operator="equal">
      <formula>$A$31</formula>
    </cfRule>
  </conditionalFormatting>
  <conditionalFormatting sqref="AU17">
    <cfRule type="cellIs" dxfId="684" priority="1475" stopIfTrue="1" operator="equal">
      <formula>$A$31</formula>
    </cfRule>
    <cfRule type="cellIs" dxfId="683" priority="1476" stopIfTrue="1" operator="equal">
      <formula>$A$32</formula>
    </cfRule>
    <cfRule type="cellIs" dxfId="682" priority="1478" stopIfTrue="1" operator="equal">
      <formula>$A$31</formula>
    </cfRule>
    <cfRule type="cellIs" dxfId="681" priority="1479" stopIfTrue="1" operator="equal">
      <formula>$A$32</formula>
    </cfRule>
    <cfRule type="cellIs" dxfId="680" priority="1481" stopIfTrue="1" operator="equal">
      <formula>$A$31</formula>
    </cfRule>
    <cfRule type="cellIs" dxfId="679" priority="1482" stopIfTrue="1" operator="equal">
      <formula>$A$32</formula>
    </cfRule>
    <cfRule type="cellIs" dxfId="678" priority="1484" stopIfTrue="1" operator="equal">
      <formula>$A$31</formula>
    </cfRule>
    <cfRule type="cellIs" dxfId="677" priority="1485" stopIfTrue="1" operator="equal">
      <formula>$A$32</formula>
    </cfRule>
    <cfRule type="cellIs" dxfId="676" priority="1487" stopIfTrue="1" operator="equal">
      <formula>$A$31</formula>
    </cfRule>
    <cfRule type="cellIs" dxfId="675" priority="1488" stopIfTrue="1" operator="equal">
      <formula>$A$32</formula>
    </cfRule>
    <cfRule type="cellIs" dxfId="674" priority="1490" stopIfTrue="1" operator="equal">
      <formula>$A$31</formula>
    </cfRule>
    <cfRule type="cellIs" dxfId="673" priority="1491" stopIfTrue="1" operator="equal">
      <formula>$A$32</formula>
    </cfRule>
    <cfRule type="cellIs" dxfId="672" priority="1493" stopIfTrue="1" operator="equal">
      <formula>$A$31</formula>
    </cfRule>
    <cfRule type="cellIs" dxfId="671" priority="1494" stopIfTrue="1" operator="equal">
      <formula>$A$32</formula>
    </cfRule>
  </conditionalFormatting>
  <conditionalFormatting sqref="AU18">
    <cfRule type="cellIs" dxfId="670" priority="1424" stopIfTrue="1" operator="equal">
      <formula>$A$32</formula>
    </cfRule>
  </conditionalFormatting>
  <conditionalFormatting sqref="AW11">
    <cfRule type="cellIs" dxfId="669" priority="1651" stopIfTrue="1" operator="equal">
      <formula>$A$31</formula>
    </cfRule>
    <cfRule type="cellIs" dxfId="668" priority="1653" stopIfTrue="1" operator="equal">
      <formula>$A$31</formula>
    </cfRule>
    <cfRule type="cellIs" dxfId="667" priority="1655" stopIfTrue="1" operator="equal">
      <formula>$A$31</formula>
    </cfRule>
    <cfRule type="cellIs" dxfId="666" priority="1657" stopIfTrue="1" operator="equal">
      <formula>$A$31</formula>
    </cfRule>
    <cfRule type="cellIs" dxfId="665" priority="1659" stopIfTrue="1" operator="equal">
      <formula>$A$31</formula>
    </cfRule>
    <cfRule type="cellIs" dxfId="664" priority="1661" stopIfTrue="1" operator="equal">
      <formula>$A$31</formula>
    </cfRule>
    <cfRule type="cellIs" dxfId="663" priority="1663" stopIfTrue="1" operator="equal">
      <formula>$A$31</formula>
    </cfRule>
    <cfRule type="cellIs" dxfId="662" priority="1665" stopIfTrue="1" operator="equal">
      <formula>$A$31</formula>
    </cfRule>
    <cfRule type="cellIs" dxfId="661" priority="1667" stopIfTrue="1" operator="equal">
      <formula>$A$31</formula>
    </cfRule>
    <cfRule type="cellIs" dxfId="660" priority="1669" stopIfTrue="1" operator="equal">
      <formula>$A$31</formula>
    </cfRule>
    <cfRule type="cellIs" dxfId="659" priority="1671" stopIfTrue="1" operator="equal">
      <formula>$A$31</formula>
    </cfRule>
    <cfRule type="cellIs" dxfId="658" priority="1673" stopIfTrue="1" operator="equal">
      <formula>$A$31</formula>
    </cfRule>
    <cfRule type="cellIs" dxfId="657" priority="1675" stopIfTrue="1" operator="equal">
      <formula>$A$31</formula>
    </cfRule>
    <cfRule type="cellIs" dxfId="656" priority="1677" stopIfTrue="1" operator="equal">
      <formula>$A$31</formula>
    </cfRule>
    <cfRule type="cellIs" dxfId="655" priority="1679" stopIfTrue="1" operator="equal">
      <formula>$A$31</formula>
    </cfRule>
  </conditionalFormatting>
  <conditionalFormatting sqref="AW15:AW16">
    <cfRule type="cellIs" dxfId="654" priority="1506" stopIfTrue="1" operator="equal">
      <formula>$A$31</formula>
    </cfRule>
    <cfRule type="cellIs" dxfId="653" priority="1507" stopIfTrue="1" operator="equal">
      <formula>$A$32</formula>
    </cfRule>
    <cfRule type="cellIs" dxfId="652" priority="1509" stopIfTrue="1" operator="equal">
      <formula>$A$31</formula>
    </cfRule>
    <cfRule type="cellIs" dxfId="651" priority="1510" stopIfTrue="1" operator="equal">
      <formula>$A$32</formula>
    </cfRule>
    <cfRule type="cellIs" dxfId="650" priority="1512" stopIfTrue="1" operator="equal">
      <formula>$A$31</formula>
    </cfRule>
    <cfRule type="cellIs" dxfId="649" priority="1513" stopIfTrue="1" operator="equal">
      <formula>$A$32</formula>
    </cfRule>
    <cfRule type="cellIs" dxfId="648" priority="1515" stopIfTrue="1" operator="equal">
      <formula>$A$31</formula>
    </cfRule>
    <cfRule type="cellIs" dxfId="647" priority="1516" stopIfTrue="1" operator="equal">
      <formula>$A$32</formula>
    </cfRule>
    <cfRule type="cellIs" dxfId="646" priority="1518" stopIfTrue="1" operator="equal">
      <formula>$A$31</formula>
    </cfRule>
    <cfRule type="cellIs" dxfId="645" priority="1519" stopIfTrue="1" operator="equal">
      <formula>$A$32</formula>
    </cfRule>
    <cfRule type="cellIs" dxfId="644" priority="1521" stopIfTrue="1" operator="equal">
      <formula>$A$31</formula>
    </cfRule>
    <cfRule type="cellIs" dxfId="643" priority="1522" stopIfTrue="1" operator="equal">
      <formula>$A$32</formula>
    </cfRule>
  </conditionalFormatting>
  <conditionalFormatting sqref="AW15:AW17">
    <cfRule type="cellIs" dxfId="642" priority="1472" stopIfTrue="1" operator="equal">
      <formula>$A$31</formula>
    </cfRule>
    <cfRule type="cellIs" dxfId="641" priority="1473" stopIfTrue="1" operator="equal">
      <formula>$A$32</formula>
    </cfRule>
  </conditionalFormatting>
  <conditionalFormatting sqref="AW17">
    <cfRule type="cellIs" dxfId="640" priority="1454" stopIfTrue="1" operator="equal">
      <formula>$A$31</formula>
    </cfRule>
    <cfRule type="cellIs" dxfId="639" priority="1455" stopIfTrue="1" operator="equal">
      <formula>$A$32</formula>
    </cfRule>
    <cfRule type="cellIs" dxfId="638" priority="1457" stopIfTrue="1" operator="equal">
      <formula>$A$31</formula>
    </cfRule>
    <cfRule type="cellIs" dxfId="637" priority="1458" stopIfTrue="1" operator="equal">
      <formula>$A$32</formula>
    </cfRule>
    <cfRule type="cellIs" dxfId="636" priority="1460" stopIfTrue="1" operator="equal">
      <formula>$A$31</formula>
    </cfRule>
    <cfRule type="cellIs" dxfId="635" priority="1461" stopIfTrue="1" operator="equal">
      <formula>$A$32</formula>
    </cfRule>
    <cfRule type="cellIs" dxfId="634" priority="1463" stopIfTrue="1" operator="equal">
      <formula>$A$31</formula>
    </cfRule>
    <cfRule type="cellIs" dxfId="633" priority="1464" stopIfTrue="1" operator="equal">
      <formula>$A$32</formula>
    </cfRule>
    <cfRule type="cellIs" dxfId="632" priority="1466" stopIfTrue="1" operator="equal">
      <formula>$A$31</formula>
    </cfRule>
    <cfRule type="cellIs" dxfId="631" priority="1467" stopIfTrue="1" operator="equal">
      <formula>$A$32</formula>
    </cfRule>
    <cfRule type="cellIs" dxfId="630" priority="1469" stopIfTrue="1" operator="equal">
      <formula>$A$31</formula>
    </cfRule>
    <cfRule type="cellIs" dxfId="629" priority="1470" stopIfTrue="1" operator="equal">
      <formula>$A$32</formula>
    </cfRule>
  </conditionalFormatting>
  <conditionalFormatting sqref="AW18">
    <cfRule type="cellIs" dxfId="628" priority="1395" stopIfTrue="1" operator="equal">
      <formula>$A$32</formula>
    </cfRule>
  </conditionalFormatting>
  <conditionalFormatting sqref="BD14:BG14">
    <cfRule type="cellIs" dxfId="627" priority="2290" stopIfTrue="1" operator="equal">
      <formula>$A$32</formula>
    </cfRule>
  </conditionalFormatting>
  <conditionalFormatting sqref="BH19:EN19">
    <cfRule type="cellIs" dxfId="626" priority="570" stopIfTrue="1" operator="equal">
      <formula>$A$32</formula>
    </cfRule>
  </conditionalFormatting>
  <conditionalFormatting sqref="BH13:EQ14">
    <cfRule type="cellIs" dxfId="625" priority="220" stopIfTrue="1" operator="equal">
      <formula>$A$32</formula>
    </cfRule>
  </conditionalFormatting>
  <conditionalFormatting sqref="BK12:BX12">
    <cfRule type="cellIs" dxfId="624" priority="2289" stopIfTrue="1" operator="equal">
      <formula>$A$32</formula>
    </cfRule>
  </conditionalFormatting>
  <conditionalFormatting sqref="BK18:CJ18">
    <cfRule type="cellIs" dxfId="623" priority="674" stopIfTrue="1" operator="equal">
      <formula>$A$32</formula>
    </cfRule>
  </conditionalFormatting>
  <conditionalFormatting sqref="BT17:BU17">
    <cfRule type="cellIs" dxfId="622" priority="2095" stopIfTrue="1" operator="equal">
      <formula>$A$32</formula>
    </cfRule>
  </conditionalFormatting>
  <conditionalFormatting sqref="BY11:BZ11">
    <cfRule type="cellIs" dxfId="621" priority="677" stopIfTrue="1" operator="equal">
      <formula>$A$31</formula>
    </cfRule>
  </conditionalFormatting>
  <conditionalFormatting sqref="BY12:CJ12">
    <cfRule type="cellIs" dxfId="620" priority="676" stopIfTrue="1" operator="equal">
      <formula>$A$32</formula>
    </cfRule>
  </conditionalFormatting>
  <conditionalFormatting sqref="CO11">
    <cfRule type="cellIs" dxfId="619" priority="2291" stopIfTrue="1" operator="equal">
      <formula>$A$31</formula>
    </cfRule>
  </conditionalFormatting>
  <conditionalFormatting sqref="DB15:DB16">
    <cfRule type="cellIs" dxfId="618" priority="1858" stopIfTrue="1" operator="equal">
      <formula>$A$31</formula>
    </cfRule>
    <cfRule type="cellIs" dxfId="617" priority="2076" stopIfTrue="1" operator="equal">
      <formula>$A$31</formula>
    </cfRule>
  </conditionalFormatting>
  <conditionalFormatting sqref="DB15:DE18">
    <cfRule type="cellIs" dxfId="616" priority="2067" stopIfTrue="1" operator="equal">
      <formula>$A$32</formula>
    </cfRule>
    <cfRule type="cellIs" dxfId="615" priority="2071" stopIfTrue="1" operator="equal">
      <formula>$A$32</formula>
    </cfRule>
  </conditionalFormatting>
  <conditionalFormatting sqref="DB17:DE17">
    <cfRule type="cellIs" dxfId="614" priority="1860" stopIfTrue="1" operator="equal">
      <formula>$A$31</formula>
    </cfRule>
    <cfRule type="cellIs" dxfId="613" priority="2069" stopIfTrue="1" operator="equal">
      <formula>$A$31</formula>
    </cfRule>
    <cfRule type="cellIs" dxfId="612" priority="2078" stopIfTrue="1" operator="equal">
      <formula>$A$31</formula>
    </cfRule>
  </conditionalFormatting>
  <conditionalFormatting sqref="DB17:DF17">
    <cfRule type="cellIs" dxfId="611" priority="2048" stopIfTrue="1" operator="equal">
      <formula>$A$31</formula>
    </cfRule>
  </conditionalFormatting>
  <conditionalFormatting sqref="DE18">
    <cfRule type="cellIs" dxfId="610" priority="1900" stopIfTrue="1" operator="equal">
      <formula>$A$31</formula>
    </cfRule>
    <cfRule type="cellIs" dxfId="609" priority="2075" stopIfTrue="1" operator="equal">
      <formula>$A$31</formula>
    </cfRule>
  </conditionalFormatting>
  <conditionalFormatting sqref="DF15:DF18">
    <cfRule type="cellIs" dxfId="608" priority="2037" stopIfTrue="1" operator="equal">
      <formula>$A$32</formula>
    </cfRule>
    <cfRule type="cellIs" dxfId="607" priority="2040" stopIfTrue="1" operator="equal">
      <formula>$A$32</formula>
    </cfRule>
  </conditionalFormatting>
  <conditionalFormatting sqref="DF17">
    <cfRule type="cellIs" dxfId="606" priority="2038" stopIfTrue="1" operator="equal">
      <formula>$A$31</formula>
    </cfRule>
  </conditionalFormatting>
  <conditionalFormatting sqref="DF17:DF18">
    <cfRule type="cellIs" dxfId="605" priority="1871" stopIfTrue="1" operator="equal">
      <formula>$A$31</formula>
    </cfRule>
    <cfRule type="cellIs" dxfId="604" priority="2044" stopIfTrue="1" operator="equal">
      <formula>$A$31</formula>
    </cfRule>
  </conditionalFormatting>
  <conditionalFormatting sqref="DG17">
    <cfRule type="cellIs" dxfId="603" priority="754" stopIfTrue="1" operator="equal">
      <formula>$A$31</formula>
    </cfRule>
  </conditionalFormatting>
  <conditionalFormatting sqref="DM1:EA1">
    <cfRule type="cellIs" dxfId="602" priority="618" stopIfTrue="1" operator="equal">
      <formula>$A$32</formula>
    </cfRule>
  </conditionalFormatting>
  <conditionalFormatting sqref="DM15:EK18">
    <cfRule type="cellIs" dxfId="601" priority="607" stopIfTrue="1" operator="equal">
      <formula>$A$32</formula>
    </cfRule>
  </conditionalFormatting>
  <conditionalFormatting sqref="EL15:EN18">
    <cfRule type="cellIs" dxfId="600" priority="494" stopIfTrue="1" operator="equal">
      <formula>$A$32</formula>
    </cfRule>
  </conditionalFormatting>
  <conditionalFormatting sqref="EP11:EQ11">
    <cfRule type="cellIs" dxfId="599" priority="331" stopIfTrue="1" operator="equal">
      <formula>$A$31</formula>
    </cfRule>
  </conditionalFormatting>
  <conditionalFormatting sqref="EP15:EQ17">
    <cfRule type="cellIs" dxfId="598" priority="320" stopIfTrue="1" operator="equal">
      <formula>$A$31</formula>
    </cfRule>
  </conditionalFormatting>
  <conditionalFormatting sqref="EP15:EQ18">
    <cfRule type="cellIs" dxfId="597" priority="329" stopIfTrue="1" operator="equal">
      <formula>$A$32</formula>
    </cfRule>
  </conditionalFormatting>
  <conditionalFormatting sqref="EP17:EQ17">
    <cfRule type="cellIs" dxfId="596" priority="430" stopIfTrue="1" operator="equal">
      <formula>$A$31</formula>
    </cfRule>
  </conditionalFormatting>
  <conditionalFormatting sqref="ER14:ES14">
    <cfRule type="cellIs" dxfId="595" priority="174" stopIfTrue="1" operator="equal">
      <formula>$A$32</formula>
    </cfRule>
  </conditionalFormatting>
  <conditionalFormatting sqref="ES11">
    <cfRule type="cellIs" dxfId="594" priority="168" stopIfTrue="1" operator="equal">
      <formula>$A$31</formula>
    </cfRule>
  </conditionalFormatting>
  <conditionalFormatting sqref="ES13">
    <cfRule type="cellIs" dxfId="593" priority="114" stopIfTrue="1" operator="equal">
      <formula>$A$32</formula>
    </cfRule>
  </conditionalFormatting>
  <conditionalFormatting sqref="ES15:ES17">
    <cfRule type="cellIs" dxfId="592" priority="157" stopIfTrue="1" operator="equal">
      <formula>$A$31</formula>
    </cfRule>
  </conditionalFormatting>
  <conditionalFormatting sqref="ES15:ES18">
    <cfRule type="cellIs" dxfId="591" priority="159" stopIfTrue="1" operator="equal">
      <formula>$A$32</formula>
    </cfRule>
  </conditionalFormatting>
  <conditionalFormatting sqref="ES17">
    <cfRule type="cellIs" dxfId="590" priority="160" stopIfTrue="1" operator="equal">
      <formula>$A$31</formula>
    </cfRule>
  </conditionalFormatting>
  <conditionalFormatting sqref="ES19">
    <cfRule type="cellIs" dxfId="589" priority="113" stopIfTrue="1" operator="equal">
      <formula>$A$32</formula>
    </cfRule>
  </conditionalFormatting>
  <conditionalFormatting sqref="ET13:EZ14">
    <cfRule type="cellIs" dxfId="588" priority="12" stopIfTrue="1" operator="equal">
      <formula>$A$32</formula>
    </cfRule>
  </conditionalFormatting>
  <conditionalFormatting sqref="EU19:EZ19">
    <cfRule type="cellIs" dxfId="587" priority="10" stopIfTrue="1" operator="equal">
      <formula>$A$32</formula>
    </cfRule>
  </conditionalFormatting>
  <conditionalFormatting sqref="EV11:EW11">
    <cfRule type="cellIs" dxfId="586" priority="63" stopIfTrue="1" operator="equal">
      <formula>$A$31</formula>
    </cfRule>
  </conditionalFormatting>
  <conditionalFormatting sqref="EV15:EW18">
    <cfRule type="cellIs" dxfId="585" priority="492" stopIfTrue="1" operator="equal">
      <formula>$A$32</formula>
    </cfRule>
  </conditionalFormatting>
  <conditionalFormatting sqref="EX15:EZ18">
    <cfRule type="cellIs" dxfId="584" priority="1" stopIfTrue="1" operator="equal">
      <formula>$A$32</formula>
    </cfRule>
  </conditionalFormatting>
  <conditionalFormatting sqref="I10:R10">
    <cfRule type="cellIs" dxfId="583" priority="4799" stopIfTrue="1" operator="equal">
      <formula>$B$31</formula>
    </cfRule>
  </conditionalFormatting>
  <conditionalFormatting sqref="AW9:AW12">
    <cfRule type="cellIs" dxfId="582" priority="5006" stopIfTrue="1" operator="equal">
      <formula>$A$32</formula>
    </cfRule>
    <cfRule type="cellIs" dxfId="581" priority="5007" stopIfTrue="1" operator="equal">
      <formula>$A$32</formula>
    </cfRule>
    <cfRule type="cellIs" dxfId="580" priority="5008" stopIfTrue="1" operator="equal">
      <formula>$A$32</formula>
    </cfRule>
    <cfRule type="cellIs" dxfId="579" priority="5009" stopIfTrue="1" operator="equal">
      <formula>$A$32</formula>
    </cfRule>
    <cfRule type="cellIs" dxfId="578" priority="5010" stopIfTrue="1" operator="equal">
      <formula>$A$32</formula>
    </cfRule>
    <cfRule type="cellIs" dxfId="577" priority="5011" stopIfTrue="1" operator="equal">
      <formula>$A$32</formula>
    </cfRule>
    <cfRule type="cellIs" dxfId="576" priority="5012" stopIfTrue="1" operator="equal">
      <formula>$A$32</formula>
    </cfRule>
    <cfRule type="cellIs" dxfId="575" priority="5013" stopIfTrue="1" operator="equal">
      <formula>$A$32</formula>
    </cfRule>
    <cfRule type="cellIs" dxfId="574" priority="5014" stopIfTrue="1" operator="equal">
      <formula>$A$32</formula>
    </cfRule>
    <cfRule type="cellIs" dxfId="573" priority="5015" stopIfTrue="1" operator="equal">
      <formula>$A$32</formula>
    </cfRule>
    <cfRule type="cellIs" dxfId="572" priority="5016" stopIfTrue="1" operator="equal">
      <formula>$A$32</formula>
    </cfRule>
    <cfRule type="cellIs" dxfId="571" priority="5017" stopIfTrue="1" operator="equal">
      <formula>$A$32</formula>
    </cfRule>
    <cfRule type="cellIs" dxfId="570" priority="5018" stopIfTrue="1" operator="equal">
      <formula>$A$32</formula>
    </cfRule>
    <cfRule type="cellIs" dxfId="569" priority="5019" stopIfTrue="1" operator="equal">
      <formula>$A$32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8"/>
  <sheetViews>
    <sheetView zoomScale="80" zoomScaleNormal="80" workbookViewId="0">
      <pane xSplit="1" topLeftCell="B1" activePane="topRight" state="frozen"/>
      <selection pane="topRight" activeCell="A26" sqref="A26"/>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7"/>
    <col min="152" max="16384" width="11.42578125" style="8"/>
  </cols>
  <sheetData>
    <row r="1" spans="1:156" ht="13.5" thickBot="1">
      <c r="A1" s="8">
        <v>4</v>
      </c>
      <c r="DF1" s="30" t="s">
        <v>409</v>
      </c>
    </row>
    <row r="2" spans="1:156">
      <c r="A2">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CADIZ</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388</v>
      </c>
      <c r="BN5" s="1582"/>
      <c r="BO5" s="1583"/>
      <c r="BP5" s="1582"/>
      <c r="BQ5" s="1583"/>
      <c r="BR5" s="1582"/>
      <c r="BS5" s="1583"/>
      <c r="BT5" s="1582"/>
      <c r="BU5" s="1583"/>
      <c r="BV5" s="1731" t="s">
        <v>273</v>
      </c>
      <c r="BW5" s="1765" t="s">
        <v>253</v>
      </c>
      <c r="BX5" s="1765"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457</v>
      </c>
      <c r="CL5" s="1648" t="s">
        <v>458</v>
      </c>
      <c r="CM5" s="1648" t="s">
        <v>459</v>
      </c>
      <c r="CN5" s="1664" t="s">
        <v>371</v>
      </c>
      <c r="CO5" s="1664" t="s">
        <v>364</v>
      </c>
      <c r="CP5" s="1664" t="s">
        <v>370</v>
      </c>
      <c r="CQ5" s="1667" t="s">
        <v>369</v>
      </c>
      <c r="CR5" s="1667" t="s">
        <v>42</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480</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612</v>
      </c>
      <c r="ED5" s="1744" t="s">
        <v>582</v>
      </c>
      <c r="EE5" s="1744" t="s">
        <v>615</v>
      </c>
      <c r="EF5" s="1744" t="s">
        <v>616</v>
      </c>
      <c r="EG5" s="1747" t="s">
        <v>617</v>
      </c>
      <c r="EH5" s="1747" t="s">
        <v>618</v>
      </c>
      <c r="EI5" s="1747" t="s">
        <v>584</v>
      </c>
      <c r="EJ5" s="1747" t="s">
        <v>585</v>
      </c>
      <c r="EK5" s="1768" t="s">
        <v>662</v>
      </c>
      <c r="EL5" s="1759" t="s">
        <v>678</v>
      </c>
      <c r="EM5" s="1760"/>
      <c r="EN5" s="1761"/>
      <c r="EO5" s="1660" t="s">
        <v>730</v>
      </c>
      <c r="EP5" s="1660" t="s">
        <v>732</v>
      </c>
      <c r="EQ5" s="1660" t="s">
        <v>733</v>
      </c>
      <c r="ER5" s="1660" t="s">
        <v>738</v>
      </c>
      <c r="ES5" s="1660" t="s">
        <v>743</v>
      </c>
      <c r="ET5" s="1753" t="s">
        <v>778</v>
      </c>
      <c r="EU5" s="1753" t="s">
        <v>779</v>
      </c>
      <c r="EV5" s="1663" t="s">
        <v>794</v>
      </c>
      <c r="EW5" s="1747" t="s">
        <v>797</v>
      </c>
      <c r="EX5" s="1654" t="s">
        <v>811</v>
      </c>
      <c r="EY5" s="1642" t="s">
        <v>816</v>
      </c>
      <c r="EZ5" s="1639" t="s">
        <v>858</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66"/>
      <c r="BX6" s="1766"/>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69"/>
      <c r="EL6" s="1762"/>
      <c r="EM6" s="1763"/>
      <c r="EN6" s="1764"/>
      <c r="EO6" s="1661"/>
      <c r="EP6" s="1661"/>
      <c r="EQ6" s="1661"/>
      <c r="ER6" s="1661"/>
      <c r="ES6" s="1661"/>
      <c r="ET6" s="1754"/>
      <c r="EU6" s="1754"/>
      <c r="EV6" s="1652"/>
      <c r="EW6" s="1748"/>
      <c r="EX6" s="1655"/>
      <c r="EY6" s="1643"/>
      <c r="EZ6" s="1640"/>
    </row>
    <row r="7" spans="1:156" ht="87" customHeight="1" thickBot="1">
      <c r="A7" s="69" t="s">
        <v>729</v>
      </c>
      <c r="B7" s="1694"/>
      <c r="C7" s="1697"/>
      <c r="D7" s="66" t="s">
        <v>401</v>
      </c>
      <c r="E7" s="67" t="s">
        <v>128</v>
      </c>
      <c r="F7" s="67" t="s">
        <v>127</v>
      </c>
      <c r="G7" s="121" t="s">
        <v>35</v>
      </c>
      <c r="H7" s="122" t="s">
        <v>402</v>
      </c>
      <c r="I7" s="9" t="s">
        <v>376</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67"/>
      <c r="BX7" s="1767"/>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70"/>
      <c r="EL7" s="636" t="s">
        <v>679</v>
      </c>
      <c r="EM7" s="636" t="s">
        <v>95</v>
      </c>
      <c r="EN7" s="636" t="s">
        <v>96</v>
      </c>
      <c r="EO7" s="1662"/>
      <c r="EP7" s="1662"/>
      <c r="EQ7" s="1662"/>
      <c r="ER7" s="1662"/>
      <c r="ES7" s="1662"/>
      <c r="ET7" s="1755"/>
      <c r="EU7" s="1755"/>
      <c r="EV7" s="1653"/>
      <c r="EW7" s="1749"/>
      <c r="EX7" s="1656"/>
      <c r="EY7" s="1644"/>
      <c r="EZ7" s="1641"/>
    </row>
    <row r="8" spans="1:156" ht="14.25" customHeight="1" thickBot="1">
      <c r="A8" s="70" t="s">
        <v>102</v>
      </c>
      <c r="B8" s="137" t="s">
        <v>403</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159</v>
      </c>
      <c r="AO8" s="50" t="s">
        <v>85</v>
      </c>
      <c r="AP8" s="50" t="s">
        <v>88</v>
      </c>
      <c r="AQ8" s="50" t="s">
        <v>103</v>
      </c>
      <c r="AR8" s="50" t="s">
        <v>104</v>
      </c>
      <c r="AS8" s="50" t="s">
        <v>105</v>
      </c>
      <c r="AT8" s="50" t="s">
        <v>106</v>
      </c>
      <c r="AU8" s="50" t="s">
        <v>110</v>
      </c>
      <c r="AV8" s="50" t="s">
        <v>111</v>
      </c>
      <c r="AW8" s="50" t="s">
        <v>112</v>
      </c>
      <c r="AX8" s="50" t="s">
        <v>113</v>
      </c>
      <c r="AY8" s="50" t="s">
        <v>114</v>
      </c>
      <c r="AZ8" s="50" t="s">
        <v>132</v>
      </c>
      <c r="BA8" s="50" t="s">
        <v>141</v>
      </c>
      <c r="BB8" s="50" t="s">
        <v>150</v>
      </c>
      <c r="BC8" s="50" t="s">
        <v>218</v>
      </c>
      <c r="BD8" s="50" t="s">
        <v>154</v>
      </c>
      <c r="BE8" s="50" t="s">
        <v>157</v>
      </c>
      <c r="BF8" s="50" t="s">
        <v>158</v>
      </c>
      <c r="BG8" s="50" t="s">
        <v>213</v>
      </c>
      <c r="BH8" s="50" t="s">
        <v>214</v>
      </c>
      <c r="BI8" s="50" t="s">
        <v>221</v>
      </c>
      <c r="BJ8" s="50" t="s">
        <v>232</v>
      </c>
      <c r="BK8" s="50" t="s">
        <v>235</v>
      </c>
      <c r="BL8" s="50" t="s">
        <v>236</v>
      </c>
      <c r="BM8" s="50"/>
      <c r="BN8" s="50"/>
      <c r="BO8" s="50"/>
      <c r="BP8" s="50"/>
      <c r="BQ8" s="50"/>
      <c r="BR8" s="50"/>
      <c r="BS8" s="50"/>
      <c r="BT8" s="50"/>
      <c r="BU8" s="50"/>
      <c r="BV8" s="50" t="s">
        <v>284</v>
      </c>
      <c r="BW8" s="50" t="s">
        <v>285</v>
      </c>
      <c r="BX8" s="50" t="s">
        <v>290</v>
      </c>
      <c r="BY8" s="50" t="s">
        <v>292</v>
      </c>
      <c r="BZ8" s="50" t="s">
        <v>297</v>
      </c>
      <c r="CA8" s="50" t="s">
        <v>298</v>
      </c>
      <c r="CB8" s="50" t="s">
        <v>351</v>
      </c>
      <c r="CC8" s="50" t="s">
        <v>353</v>
      </c>
      <c r="CD8" s="50" t="s">
        <v>355</v>
      </c>
      <c r="CE8" s="50" t="s">
        <v>365</v>
      </c>
      <c r="CF8" s="50" t="s">
        <v>366</v>
      </c>
      <c r="CG8" s="50" t="s">
        <v>367</v>
      </c>
      <c r="CH8" s="50" t="s">
        <v>368</v>
      </c>
      <c r="CI8" s="50" t="s">
        <v>391</v>
      </c>
      <c r="CJ8" s="50" t="s">
        <v>393</v>
      </c>
      <c r="CK8" s="50" t="s">
        <v>231</v>
      </c>
      <c r="CL8" s="50" t="s">
        <v>317</v>
      </c>
      <c r="CM8" s="50" t="s">
        <v>320</v>
      </c>
      <c r="CN8" s="50"/>
      <c r="CO8" s="50"/>
      <c r="CP8" s="50"/>
      <c r="CQ8" s="50" t="s">
        <v>346</v>
      </c>
      <c r="CR8" s="50" t="s">
        <v>347</v>
      </c>
      <c r="CS8" s="50" t="s">
        <v>168</v>
      </c>
      <c r="CT8" s="50" t="s">
        <v>187</v>
      </c>
      <c r="CU8" s="50" t="s">
        <v>188</v>
      </c>
      <c r="CV8" s="50" t="s">
        <v>189</v>
      </c>
      <c r="CW8" s="50" t="s">
        <v>190</v>
      </c>
      <c r="CX8" s="50" t="s">
        <v>191</v>
      </c>
      <c r="CY8" s="50" t="s">
        <v>192</v>
      </c>
      <c r="CZ8" s="50" t="s">
        <v>193</v>
      </c>
      <c r="DA8" s="50" t="s">
        <v>194</v>
      </c>
      <c r="DB8" s="50" t="s">
        <v>195</v>
      </c>
      <c r="DC8" s="50" t="s">
        <v>199</v>
      </c>
      <c r="DD8" s="50" t="s">
        <v>200</v>
      </c>
      <c r="DE8" s="50" t="s">
        <v>409</v>
      </c>
      <c r="DF8" s="50" t="s">
        <v>43</v>
      </c>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69"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469" t="s">
        <v>680</v>
      </c>
      <c r="EM8" s="469" t="s">
        <v>681</v>
      </c>
      <c r="EN8" s="469" t="s">
        <v>682</v>
      </c>
      <c r="EO8" s="50" t="s">
        <v>731</v>
      </c>
      <c r="EP8" s="50" t="s">
        <v>736</v>
      </c>
      <c r="EQ8" s="50" t="s">
        <v>737</v>
      </c>
      <c r="ER8" s="469">
        <v>148</v>
      </c>
      <c r="ES8" s="469" t="s">
        <v>744</v>
      </c>
      <c r="ET8" s="1136" t="s">
        <v>780</v>
      </c>
      <c r="EU8" s="1136" t="s">
        <v>781</v>
      </c>
      <c r="EV8" s="1136" t="s">
        <v>788</v>
      </c>
      <c r="EW8" s="469" t="s">
        <v>796</v>
      </c>
      <c r="EX8" s="469" t="s">
        <v>810</v>
      </c>
      <c r="EY8" s="469" t="s">
        <v>815</v>
      </c>
      <c r="EZ8" s="469" t="s">
        <v>859</v>
      </c>
    </row>
    <row r="9" spans="1:156" ht="14.25" customHeight="1">
      <c r="A9" s="20" t="s">
        <v>1011</v>
      </c>
      <c r="B9" s="21" t="s">
        <v>403</v>
      </c>
      <c r="C9" s="22" t="s">
        <v>3</v>
      </c>
      <c r="D9" s="23" t="s">
        <v>20</v>
      </c>
      <c r="E9" s="21" t="s">
        <v>21</v>
      </c>
      <c r="F9" s="21">
        <v>32</v>
      </c>
      <c r="G9" s="6"/>
      <c r="H9" s="136" t="s">
        <v>246</v>
      </c>
      <c r="I9" s="1174" t="s">
        <v>842</v>
      </c>
      <c r="J9" s="1173" t="s">
        <v>843</v>
      </c>
      <c r="K9" s="1173" t="s">
        <v>844</v>
      </c>
      <c r="L9" s="1173" t="s">
        <v>845</v>
      </c>
      <c r="M9" s="57" t="s">
        <v>814</v>
      </c>
      <c r="N9" s="57" t="s">
        <v>817</v>
      </c>
      <c r="O9" s="57" t="s">
        <v>324</v>
      </c>
      <c r="P9" s="57" t="s">
        <v>372</v>
      </c>
      <c r="Q9" s="57" t="s">
        <v>373</v>
      </c>
      <c r="R9" s="57" t="s">
        <v>374</v>
      </c>
      <c r="S9" s="57"/>
      <c r="T9" s="57"/>
      <c r="U9" s="57"/>
      <c r="V9" s="57"/>
      <c r="W9" s="57"/>
      <c r="X9" s="61"/>
      <c r="Y9" s="1177" t="s">
        <v>839</v>
      </c>
      <c r="Z9" s="1173" t="s">
        <v>838</v>
      </c>
      <c r="AA9" s="1173" t="s">
        <v>840</v>
      </c>
      <c r="AB9" s="1173" t="s">
        <v>841</v>
      </c>
      <c r="AC9" s="57"/>
      <c r="AD9" s="57"/>
      <c r="AE9" s="57"/>
      <c r="AF9" s="61"/>
      <c r="AG9" s="62"/>
      <c r="AH9" s="57"/>
      <c r="AI9" s="57"/>
      <c r="AJ9" s="63"/>
      <c r="AK9" s="58"/>
      <c r="AL9" s="57"/>
      <c r="AM9" s="57"/>
      <c r="AN9" s="61"/>
      <c r="AO9" s="64"/>
      <c r="AP9" s="64"/>
      <c r="AQ9" s="64"/>
      <c r="AR9" s="60"/>
      <c r="AS9" s="316" t="s">
        <v>822</v>
      </c>
      <c r="AT9" s="194"/>
      <c r="AU9" s="316" t="s">
        <v>769</v>
      </c>
      <c r="AV9" s="194"/>
      <c r="AW9" s="316" t="s">
        <v>772</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498</v>
      </c>
      <c r="BW9" s="155" t="s">
        <v>304</v>
      </c>
      <c r="BX9" s="155" t="s">
        <v>305</v>
      </c>
      <c r="BY9" s="155" t="s">
        <v>851</v>
      </c>
      <c r="BZ9" s="155" t="s">
        <v>876</v>
      </c>
      <c r="CA9" s="155" t="s">
        <v>413</v>
      </c>
      <c r="CB9" s="155" t="s">
        <v>414</v>
      </c>
      <c r="CC9" s="155" t="s">
        <v>415</v>
      </c>
      <c r="CD9" s="155" t="s">
        <v>416</v>
      </c>
      <c r="CE9" s="155"/>
      <c r="CF9" s="155"/>
      <c r="CG9" s="155"/>
      <c r="CH9" s="155"/>
      <c r="CI9" s="155" t="s">
        <v>505</v>
      </c>
      <c r="CJ9" s="155" t="s">
        <v>417</v>
      </c>
      <c r="CK9" s="155" t="s">
        <v>492</v>
      </c>
      <c r="CL9" s="155" t="s">
        <v>494</v>
      </c>
      <c r="CM9" s="155" t="s">
        <v>496</v>
      </c>
      <c r="CN9" s="155">
        <v>1088</v>
      </c>
      <c r="CO9" s="155">
        <v>720</v>
      </c>
      <c r="CP9" s="155">
        <v>1088</v>
      </c>
      <c r="CQ9" s="288" t="s">
        <v>852</v>
      </c>
      <c r="CR9" s="288" t="s">
        <v>877</v>
      </c>
      <c r="CS9" s="155"/>
      <c r="CT9" s="155"/>
      <c r="CU9" s="155"/>
      <c r="CV9" s="155" t="s">
        <v>503</v>
      </c>
      <c r="CW9" s="155" t="s">
        <v>412</v>
      </c>
      <c r="CX9" s="155" t="s">
        <v>344</v>
      </c>
      <c r="CY9" s="155" t="s">
        <v>440</v>
      </c>
      <c r="CZ9" s="155" t="s">
        <v>441</v>
      </c>
      <c r="DA9" s="155" t="s">
        <v>442</v>
      </c>
      <c r="DB9" s="316" t="s">
        <v>823</v>
      </c>
      <c r="DC9" s="316" t="s">
        <v>824</v>
      </c>
      <c r="DD9" s="155"/>
      <c r="DE9" s="155" t="s">
        <v>242</v>
      </c>
      <c r="DF9" s="155"/>
      <c r="DG9" s="155" t="s">
        <v>446</v>
      </c>
      <c r="DH9" s="155" t="s">
        <v>500</v>
      </c>
      <c r="DI9" s="155" t="s">
        <v>501</v>
      </c>
      <c r="DJ9" s="155" t="s">
        <v>502</v>
      </c>
      <c r="DK9" s="155"/>
      <c r="DL9" s="155"/>
      <c r="DM9" s="155"/>
      <c r="DN9" s="155"/>
      <c r="DO9" s="155"/>
      <c r="DP9" s="155"/>
      <c r="DQ9" s="155"/>
      <c r="DR9" s="155"/>
      <c r="DS9" s="155"/>
      <c r="DT9" s="155"/>
      <c r="DU9" s="155" t="s">
        <v>669</v>
      </c>
      <c r="DV9" s="155" t="s">
        <v>664</v>
      </c>
      <c r="DW9" s="155" t="s">
        <v>665</v>
      </c>
      <c r="DX9" s="155" t="s">
        <v>666</v>
      </c>
      <c r="DY9" s="155" t="s">
        <v>667</v>
      </c>
      <c r="DZ9" s="155"/>
      <c r="EA9" s="155"/>
      <c r="EB9" s="155"/>
      <c r="EC9" s="155"/>
      <c r="ED9" s="155"/>
      <c r="EE9" s="155"/>
      <c r="EF9" s="155"/>
      <c r="EG9" s="155"/>
      <c r="EH9" s="155"/>
      <c r="EI9" s="155"/>
      <c r="EJ9" s="155"/>
      <c r="EK9" s="155"/>
      <c r="EL9" s="288" t="s">
        <v>760</v>
      </c>
      <c r="EM9" s="288" t="s">
        <v>761</v>
      </c>
      <c r="EN9" s="155" t="s">
        <v>759</v>
      </c>
      <c r="EO9" s="984" t="s">
        <v>825</v>
      </c>
      <c r="EP9" s="984" t="s">
        <v>830</v>
      </c>
      <c r="EQ9" s="984" t="s">
        <v>832</v>
      </c>
      <c r="ER9" s="995">
        <v>1200</v>
      </c>
      <c r="ES9" s="992"/>
      <c r="ET9" s="1137"/>
      <c r="EU9" s="1137"/>
      <c r="EV9" s="155" t="s">
        <v>791</v>
      </c>
      <c r="EW9" s="155"/>
      <c r="EX9" s="155"/>
      <c r="EY9" s="155"/>
      <c r="EZ9" s="155"/>
    </row>
    <row r="10" spans="1:156" ht="14.25" customHeight="1">
      <c r="A10" s="20" t="s">
        <v>1017</v>
      </c>
      <c r="B10" s="21" t="s">
        <v>403</v>
      </c>
      <c r="C10" s="22" t="s">
        <v>3</v>
      </c>
      <c r="D10" s="23" t="s">
        <v>82</v>
      </c>
      <c r="E10" s="21" t="s">
        <v>82</v>
      </c>
      <c r="F10" s="21" t="s">
        <v>141</v>
      </c>
      <c r="G10" s="6"/>
      <c r="H10" s="136"/>
      <c r="I10" s="1175" t="s">
        <v>872</v>
      </c>
      <c r="J10" s="1176" t="s">
        <v>865</v>
      </c>
      <c r="K10" s="1176" t="s">
        <v>868</v>
      </c>
      <c r="L10" s="1176" t="s">
        <v>873</v>
      </c>
      <c r="M10" s="57" t="s">
        <v>512</v>
      </c>
      <c r="N10" s="57" t="s">
        <v>142</v>
      </c>
      <c r="O10" s="57" t="s">
        <v>228</v>
      </c>
      <c r="P10" s="57" t="s">
        <v>143</v>
      </c>
      <c r="Q10" s="57" t="s">
        <v>144</v>
      </c>
      <c r="R10" s="57" t="s">
        <v>145</v>
      </c>
      <c r="S10" s="57"/>
      <c r="T10" s="57"/>
      <c r="U10" s="57"/>
      <c r="V10" s="57"/>
      <c r="W10" s="57"/>
      <c r="X10" s="61"/>
      <c r="Y10" s="1178"/>
      <c r="Z10" s="1179"/>
      <c r="AA10" s="1180"/>
      <c r="AB10" s="1179"/>
      <c r="AC10" s="57"/>
      <c r="AD10" s="57"/>
      <c r="AE10" s="57"/>
      <c r="AF10" s="61"/>
      <c r="AG10" s="62"/>
      <c r="AH10" s="57"/>
      <c r="AI10" s="57"/>
      <c r="AJ10" s="63"/>
      <c r="AK10" s="58"/>
      <c r="AL10" s="57"/>
      <c r="AM10" s="57"/>
      <c r="AN10" s="61"/>
      <c r="AO10" s="64"/>
      <c r="AP10" s="59"/>
      <c r="AQ10" s="64"/>
      <c r="AR10" s="59"/>
      <c r="AS10" s="147" t="s">
        <v>745</v>
      </c>
      <c r="AT10" s="63"/>
      <c r="AU10" s="147" t="s">
        <v>746</v>
      </c>
      <c r="AV10" s="63"/>
      <c r="AW10" s="147" t="s">
        <v>747</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311</v>
      </c>
      <c r="BW10" s="153" t="s">
        <v>348</v>
      </c>
      <c r="BX10" s="153" t="s">
        <v>349</v>
      </c>
      <c r="BY10" s="153" t="s">
        <v>863</v>
      </c>
      <c r="BZ10" s="153"/>
      <c r="CA10" s="153"/>
      <c r="CB10" s="153"/>
      <c r="CC10" s="153"/>
      <c r="CD10" s="153"/>
      <c r="CE10" s="153"/>
      <c r="CF10" s="153"/>
      <c r="CG10" s="153"/>
      <c r="CH10" s="153"/>
      <c r="CI10" s="153" t="s">
        <v>507</v>
      </c>
      <c r="CJ10" s="153" t="s">
        <v>301</v>
      </c>
      <c r="CK10" s="153" t="s">
        <v>460</v>
      </c>
      <c r="CL10" s="153" t="s">
        <v>461</v>
      </c>
      <c r="CM10" s="153" t="s">
        <v>462</v>
      </c>
      <c r="CN10" s="153">
        <v>1175</v>
      </c>
      <c r="CO10" s="153">
        <v>0</v>
      </c>
      <c r="CP10" s="288" t="s">
        <v>419</v>
      </c>
      <c r="CQ10" s="153" t="s">
        <v>864</v>
      </c>
      <c r="CR10" s="153"/>
      <c r="CS10" s="153"/>
      <c r="CT10" s="155"/>
      <c r="CU10" s="155"/>
      <c r="CV10" s="155" t="s">
        <v>316</v>
      </c>
      <c r="CW10" s="155" t="s">
        <v>340</v>
      </c>
      <c r="CX10" s="155" t="s">
        <v>343</v>
      </c>
      <c r="CY10" s="155" t="s">
        <v>508</v>
      </c>
      <c r="CZ10" s="155" t="s">
        <v>509</v>
      </c>
      <c r="DA10" s="155" t="s">
        <v>510</v>
      </c>
      <c r="DB10" s="319" t="s">
        <v>865</v>
      </c>
      <c r="DC10" s="318"/>
      <c r="DD10" s="155"/>
      <c r="DE10" s="155" t="s">
        <v>243</v>
      </c>
      <c r="DF10" s="155"/>
      <c r="DG10" s="155" t="s">
        <v>511</v>
      </c>
      <c r="DH10" s="153" t="s">
        <v>433</v>
      </c>
      <c r="DI10" s="153" t="s">
        <v>431</v>
      </c>
      <c r="DJ10" s="153" t="s">
        <v>432</v>
      </c>
      <c r="DK10" s="153"/>
      <c r="DL10" s="153"/>
      <c r="DM10" s="288"/>
      <c r="DN10" s="288"/>
      <c r="DO10" s="288"/>
      <c r="DP10" s="288"/>
      <c r="DQ10" s="288"/>
      <c r="DR10" s="288"/>
      <c r="DS10" s="288"/>
      <c r="DT10" s="288"/>
      <c r="DU10" s="154" t="s">
        <v>602</v>
      </c>
      <c r="DV10" s="288" t="s">
        <v>716</v>
      </c>
      <c r="DW10" s="288" t="s">
        <v>713</v>
      </c>
      <c r="DX10" s="288" t="s">
        <v>714</v>
      </c>
      <c r="DY10" s="288" t="s">
        <v>715</v>
      </c>
      <c r="DZ10" s="288"/>
      <c r="EA10" s="288"/>
      <c r="EB10" s="288"/>
      <c r="EC10" s="288"/>
      <c r="ED10" s="288"/>
      <c r="EE10" s="288"/>
      <c r="EF10" s="288"/>
      <c r="EG10" s="288"/>
      <c r="EH10" s="288"/>
      <c r="EI10" s="288"/>
      <c r="EJ10" s="288"/>
      <c r="EK10" s="288"/>
      <c r="EL10" s="288"/>
      <c r="EM10" s="288"/>
      <c r="EN10" s="288"/>
      <c r="EO10" s="319" t="s">
        <v>751</v>
      </c>
      <c r="EP10" s="319" t="s">
        <v>752</v>
      </c>
      <c r="EQ10" s="319" t="s">
        <v>753</v>
      </c>
      <c r="ER10" s="996">
        <v>1600</v>
      </c>
      <c r="ES10" s="338"/>
      <c r="ET10" s="1137"/>
      <c r="EU10" s="1137"/>
      <c r="EV10" s="155" t="s">
        <v>793</v>
      </c>
      <c r="EW10" s="288"/>
      <c r="EX10" s="288"/>
      <c r="EY10" s="288"/>
      <c r="EZ10" s="288"/>
    </row>
    <row r="11" spans="1:156" ht="14.25" customHeight="1" thickBot="1">
      <c r="A11" s="20" t="s">
        <v>1012</v>
      </c>
      <c r="B11" s="21" t="s">
        <v>403</v>
      </c>
      <c r="C11" s="22" t="s">
        <v>3</v>
      </c>
      <c r="D11" s="23" t="s">
        <v>20</v>
      </c>
      <c r="E11" s="21" t="s">
        <v>51</v>
      </c>
      <c r="F11" s="21">
        <v>32</v>
      </c>
      <c r="G11" s="6"/>
      <c r="H11" s="28" t="s">
        <v>36</v>
      </c>
      <c r="I11" s="1171" t="s">
        <v>846</v>
      </c>
      <c r="J11" s="1172" t="s">
        <v>847</v>
      </c>
      <c r="K11" s="1172" t="s">
        <v>848</v>
      </c>
      <c r="L11" s="1172" t="s">
        <v>849</v>
      </c>
      <c r="M11" s="26" t="s">
        <v>489</v>
      </c>
      <c r="N11" s="26" t="s">
        <v>38</v>
      </c>
      <c r="O11" s="57" t="s">
        <v>225</v>
      </c>
      <c r="P11" s="26" t="s">
        <v>39</v>
      </c>
      <c r="Q11" s="26" t="s">
        <v>40</v>
      </c>
      <c r="R11" s="26" t="s">
        <v>91</v>
      </c>
      <c r="S11" s="26"/>
      <c r="T11" s="26"/>
      <c r="U11" s="26"/>
      <c r="V11" s="26"/>
      <c r="W11" s="26"/>
      <c r="X11" s="52"/>
      <c r="Y11" s="1177" t="s">
        <v>839</v>
      </c>
      <c r="Z11" s="1173" t="s">
        <v>850</v>
      </c>
      <c r="AA11" s="1173" t="s">
        <v>840</v>
      </c>
      <c r="AB11" s="1173" t="s">
        <v>841</v>
      </c>
      <c r="AC11" s="26"/>
      <c r="AD11" s="26"/>
      <c r="AE11" s="26"/>
      <c r="AF11" s="52"/>
      <c r="AG11" s="49"/>
      <c r="AH11" s="26"/>
      <c r="AI11" s="26"/>
      <c r="AJ11" s="27"/>
      <c r="AK11" s="25"/>
      <c r="AL11" s="26"/>
      <c r="AM11" s="26"/>
      <c r="AN11" s="52"/>
      <c r="AO11" s="59"/>
      <c r="AP11" s="59"/>
      <c r="AQ11" s="59"/>
      <c r="AR11" s="64"/>
      <c r="AS11" s="49" t="s">
        <v>767</v>
      </c>
      <c r="AT11" s="27"/>
      <c r="AU11" s="49" t="s">
        <v>770</v>
      </c>
      <c r="AV11" s="27"/>
      <c r="AW11" s="49" t="s">
        <v>773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497</v>
      </c>
      <c r="BW11" s="155" t="s">
        <v>255</v>
      </c>
      <c r="BX11" s="155" t="s">
        <v>256</v>
      </c>
      <c r="BY11" s="156" t="s">
        <v>829</v>
      </c>
      <c r="BZ11" s="155" t="s">
        <v>856</v>
      </c>
      <c r="CA11" s="155" t="s">
        <v>291</v>
      </c>
      <c r="CB11" s="155" t="s">
        <v>286</v>
      </c>
      <c r="CC11" s="155" t="s">
        <v>287</v>
      </c>
      <c r="CD11" s="155" t="s">
        <v>288</v>
      </c>
      <c r="CE11" s="156"/>
      <c r="CF11" s="156"/>
      <c r="CG11" s="156"/>
      <c r="CH11" s="156"/>
      <c r="CI11" s="156" t="s">
        <v>482</v>
      </c>
      <c r="CJ11" s="156" t="s">
        <v>299</v>
      </c>
      <c r="CK11" s="155" t="s">
        <v>491</v>
      </c>
      <c r="CL11" s="155" t="s">
        <v>493</v>
      </c>
      <c r="CM11" s="155" t="s">
        <v>495</v>
      </c>
      <c r="CN11" s="155">
        <v>1088</v>
      </c>
      <c r="CO11" s="156">
        <v>1000</v>
      </c>
      <c r="CP11" s="155">
        <v>1088</v>
      </c>
      <c r="CQ11" s="155" t="s">
        <v>807</v>
      </c>
      <c r="CR11" s="155" t="s">
        <v>857</v>
      </c>
      <c r="CS11" s="156"/>
      <c r="CT11" s="155"/>
      <c r="CU11" s="155"/>
      <c r="CV11" s="155" t="s">
        <v>503</v>
      </c>
      <c r="CW11" s="155" t="s">
        <v>337</v>
      </c>
      <c r="CX11" s="155" t="s">
        <v>344</v>
      </c>
      <c r="CY11" s="155" t="s">
        <v>440</v>
      </c>
      <c r="CZ11" s="155" t="s">
        <v>441</v>
      </c>
      <c r="DA11" s="155" t="s">
        <v>442</v>
      </c>
      <c r="DB11" s="146" t="s">
        <v>818</v>
      </c>
      <c r="DC11" s="146" t="s">
        <v>819</v>
      </c>
      <c r="DD11" s="155"/>
      <c r="DE11" s="155" t="s">
        <v>244</v>
      </c>
      <c r="DF11" s="155"/>
      <c r="DG11" s="155" t="s">
        <v>446</v>
      </c>
      <c r="DH11" s="155" t="s">
        <v>500</v>
      </c>
      <c r="DI11" s="155" t="s">
        <v>501</v>
      </c>
      <c r="DJ11" s="155" t="s">
        <v>502</v>
      </c>
      <c r="DK11" s="155"/>
      <c r="DL11" s="155"/>
      <c r="DM11" s="288"/>
      <c r="DN11" s="288"/>
      <c r="DO11" s="288"/>
      <c r="DP11" s="288"/>
      <c r="DQ11" s="288"/>
      <c r="DR11" s="288"/>
      <c r="DS11" s="288"/>
      <c r="DT11" s="288"/>
      <c r="DU11" s="288" t="s">
        <v>669</v>
      </c>
      <c r="DV11" s="288" t="s">
        <v>664</v>
      </c>
      <c r="DW11" s="288" t="s">
        <v>665</v>
      </c>
      <c r="DX11" s="288" t="s">
        <v>666</v>
      </c>
      <c r="DY11" s="288" t="s">
        <v>667</v>
      </c>
      <c r="DZ11" s="288"/>
      <c r="EA11" s="288"/>
      <c r="EB11" s="288"/>
      <c r="EC11" s="288"/>
      <c r="ED11" s="288"/>
      <c r="EE11" s="288"/>
      <c r="EF11" s="288"/>
      <c r="EG11" s="288"/>
      <c r="EH11" s="288"/>
      <c r="EI11" s="288"/>
      <c r="EJ11" s="288"/>
      <c r="EK11" s="288"/>
      <c r="EL11" s="288"/>
      <c r="EM11" s="288"/>
      <c r="EN11" s="288"/>
      <c r="EO11" s="983" t="s">
        <v>826</v>
      </c>
      <c r="EP11" s="983" t="s">
        <v>808</v>
      </c>
      <c r="EQ11" s="983" t="s">
        <v>809</v>
      </c>
      <c r="ER11" s="997">
        <v>1323</v>
      </c>
      <c r="ES11" s="993"/>
      <c r="ET11" s="1137"/>
      <c r="EU11" s="1137"/>
      <c r="EV11" s="155" t="s">
        <v>790</v>
      </c>
      <c r="EW11" s="288"/>
      <c r="EX11" s="288"/>
      <c r="EY11" s="288"/>
      <c r="EZ11" s="288"/>
    </row>
    <row r="12" spans="1:156" ht="14.25" customHeight="1">
      <c r="A12" s="20" t="s">
        <v>1014</v>
      </c>
      <c r="B12" s="21" t="s">
        <v>403</v>
      </c>
      <c r="C12" s="22" t="s">
        <v>3</v>
      </c>
      <c r="D12" s="23" t="s">
        <v>20</v>
      </c>
      <c r="E12" s="21" t="s">
        <v>20</v>
      </c>
      <c r="F12" s="21">
        <v>31</v>
      </c>
      <c r="G12" s="6"/>
      <c r="H12" s="29"/>
      <c r="I12" s="1171" t="s">
        <v>875</v>
      </c>
      <c r="J12" s="1172" t="s">
        <v>866</v>
      </c>
      <c r="K12" s="1172" t="s">
        <v>869</v>
      </c>
      <c r="L12" s="1172" t="s">
        <v>874</v>
      </c>
      <c r="M12" s="26" t="s">
        <v>813</v>
      </c>
      <c r="N12" s="26" t="s">
        <v>38</v>
      </c>
      <c r="O12" s="57" t="s">
        <v>225</v>
      </c>
      <c r="P12" s="26" t="s">
        <v>382</v>
      </c>
      <c r="Q12" s="26" t="s">
        <v>383</v>
      </c>
      <c r="R12" s="26" t="s">
        <v>384</v>
      </c>
      <c r="S12" s="26"/>
      <c r="T12" s="26"/>
      <c r="U12" s="26"/>
      <c r="V12" s="26"/>
      <c r="W12" s="26"/>
      <c r="X12" s="52"/>
      <c r="Y12" s="1177" t="s">
        <v>839</v>
      </c>
      <c r="Z12" s="1173" t="s">
        <v>838</v>
      </c>
      <c r="AA12" s="1173" t="s">
        <v>840</v>
      </c>
      <c r="AB12" s="1173" t="s">
        <v>841</v>
      </c>
      <c r="AC12" s="26"/>
      <c r="AD12" s="26"/>
      <c r="AE12" s="26"/>
      <c r="AF12" s="52"/>
      <c r="AG12" s="49"/>
      <c r="AH12" s="26"/>
      <c r="AI12" s="26"/>
      <c r="AJ12" s="27"/>
      <c r="AK12" s="25"/>
      <c r="AL12" s="26"/>
      <c r="AM12" s="26"/>
      <c r="AN12" s="52"/>
      <c r="AO12" s="59"/>
      <c r="AP12" s="59"/>
      <c r="AQ12" s="59"/>
      <c r="AR12" s="64"/>
      <c r="AS12" s="49" t="s">
        <v>867</v>
      </c>
      <c r="AT12" s="27"/>
      <c r="AU12" s="49" t="s">
        <v>870</v>
      </c>
      <c r="AV12" s="27"/>
      <c r="AW12" s="49" t="s">
        <v>862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499</v>
      </c>
      <c r="BW12" s="155" t="s">
        <v>385</v>
      </c>
      <c r="BX12" s="155" t="s">
        <v>386</v>
      </c>
      <c r="BY12" s="156" t="s">
        <v>871</v>
      </c>
      <c r="BZ12" s="155"/>
      <c r="CA12" s="155" t="s">
        <v>291</v>
      </c>
      <c r="CB12" s="155" t="s">
        <v>286</v>
      </c>
      <c r="CC12" s="155" t="s">
        <v>287</v>
      </c>
      <c r="CD12" s="155" t="s">
        <v>288</v>
      </c>
      <c r="CE12" s="156"/>
      <c r="CF12" s="156"/>
      <c r="CG12" s="156"/>
      <c r="CH12" s="156"/>
      <c r="CI12" s="156" t="s">
        <v>482</v>
      </c>
      <c r="CJ12" s="156" t="s">
        <v>299</v>
      </c>
      <c r="CK12" s="155" t="s">
        <v>492</v>
      </c>
      <c r="CL12" s="155" t="s">
        <v>494</v>
      </c>
      <c r="CM12" s="155" t="s">
        <v>496</v>
      </c>
      <c r="CN12" s="288" t="s">
        <v>333</v>
      </c>
      <c r="CO12" s="156">
        <v>2880</v>
      </c>
      <c r="CP12" s="288" t="s">
        <v>308</v>
      </c>
      <c r="CQ12" s="288" t="s">
        <v>853</v>
      </c>
      <c r="CR12" s="288"/>
      <c r="CS12" s="156"/>
      <c r="CT12" s="155"/>
      <c r="CU12" s="155"/>
      <c r="CV12" s="155" t="s">
        <v>503</v>
      </c>
      <c r="CW12" s="155" t="s">
        <v>337</v>
      </c>
      <c r="CX12" s="155" t="s">
        <v>344</v>
      </c>
      <c r="CY12" s="155" t="s">
        <v>440</v>
      </c>
      <c r="CZ12" s="155" t="s">
        <v>441</v>
      </c>
      <c r="DA12" s="155" t="s">
        <v>442</v>
      </c>
      <c r="DB12" s="316" t="s">
        <v>820</v>
      </c>
      <c r="DC12" s="316" t="s">
        <v>821</v>
      </c>
      <c r="DD12" s="155"/>
      <c r="DE12" s="155" t="s">
        <v>245</v>
      </c>
      <c r="DF12" s="155"/>
      <c r="DG12" s="155" t="s">
        <v>446</v>
      </c>
      <c r="DH12" s="155" t="s">
        <v>500</v>
      </c>
      <c r="DI12" s="155" t="s">
        <v>501</v>
      </c>
      <c r="DJ12" s="155" t="s">
        <v>502</v>
      </c>
      <c r="DK12" s="155"/>
      <c r="DL12" s="155"/>
      <c r="DM12" s="288"/>
      <c r="DN12" s="288"/>
      <c r="DO12" s="288"/>
      <c r="DP12" s="288"/>
      <c r="DQ12" s="288"/>
      <c r="DR12" s="288"/>
      <c r="DS12" s="288"/>
      <c r="DT12" s="288"/>
      <c r="DU12" s="288" t="s">
        <v>669</v>
      </c>
      <c r="DV12" s="288" t="s">
        <v>664</v>
      </c>
      <c r="DW12" s="288" t="s">
        <v>665</v>
      </c>
      <c r="DX12" s="288" t="s">
        <v>666</v>
      </c>
      <c r="DY12" s="288" t="s">
        <v>667</v>
      </c>
      <c r="DZ12" s="288"/>
      <c r="EA12" s="288"/>
      <c r="EB12" s="288"/>
      <c r="EC12" s="288"/>
      <c r="ED12" s="288"/>
      <c r="EE12" s="288"/>
      <c r="EF12" s="288"/>
      <c r="EG12" s="288"/>
      <c r="EH12" s="288"/>
      <c r="EI12" s="288"/>
      <c r="EJ12" s="288"/>
      <c r="EK12" s="288"/>
      <c r="EL12" s="288" t="s">
        <v>760</v>
      </c>
      <c r="EM12" s="288" t="s">
        <v>761</v>
      </c>
      <c r="EN12" s="155" t="s">
        <v>759</v>
      </c>
      <c r="EO12" s="984" t="s">
        <v>828</v>
      </c>
      <c r="EP12" s="984" t="s">
        <v>831</v>
      </c>
      <c r="EQ12" s="984" t="s">
        <v>833</v>
      </c>
      <c r="ER12" s="995">
        <v>680</v>
      </c>
      <c r="ES12" s="994"/>
      <c r="ET12" s="1137"/>
      <c r="EU12" s="1137"/>
      <c r="EV12" s="155" t="s">
        <v>790</v>
      </c>
      <c r="EW12" s="288"/>
      <c r="EX12" s="288"/>
      <c r="EY12" s="288"/>
      <c r="EZ12" s="288"/>
    </row>
    <row r="13" spans="1:156" ht="14.25" customHeight="1" thickBot="1">
      <c r="A13" s="74" t="s">
        <v>0</v>
      </c>
      <c r="B13" s="75" t="s">
        <v>403</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403</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1193" t="s">
        <v>1013</v>
      </c>
      <c r="B15" s="21" t="s">
        <v>403</v>
      </c>
      <c r="C15" s="22" t="s">
        <v>3</v>
      </c>
      <c r="D15" s="23" t="s">
        <v>20</v>
      </c>
      <c r="E15" s="21" t="s">
        <v>22</v>
      </c>
      <c r="F15" s="21">
        <v>33</v>
      </c>
      <c r="G15" s="6"/>
      <c r="H15" s="24"/>
      <c r="I15" s="25" t="s">
        <v>515</v>
      </c>
      <c r="J15" s="26" t="s">
        <v>881</v>
      </c>
      <c r="K15" s="26" t="s">
        <v>892</v>
      </c>
      <c r="L15" s="26" t="s">
        <v>899</v>
      </c>
      <c r="M15" s="26" t="s">
        <v>514</v>
      </c>
      <c r="N15" s="26" t="s">
        <v>325</v>
      </c>
      <c r="O15" s="57" t="s">
        <v>326</v>
      </c>
      <c r="P15" s="26" t="s">
        <v>474</v>
      </c>
      <c r="Q15" s="26" t="s">
        <v>475</v>
      </c>
      <c r="R15" s="26" t="s">
        <v>476</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728</v>
      </c>
      <c r="AT15" s="27" t="s">
        <v>725</v>
      </c>
      <c r="AU15" s="49" t="s">
        <v>518</v>
      </c>
      <c r="AV15" s="27" t="s">
        <v>726</v>
      </c>
      <c r="AW15" s="49" t="s">
        <v>519</v>
      </c>
      <c r="AX15" s="27" t="s">
        <v>727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8" si="7">IF(ISNUMBER(W15),W15," - ")</f>
        <v xml:space="preserve"> - </v>
      </c>
      <c r="BD15" s="100" t="str">
        <f t="shared" ref="BD15:BD18" si="8">IF(ISNUMBER(BA15/AZ15),BA15/AZ15," - ")</f>
        <v xml:space="preserve"> - </v>
      </c>
      <c r="BE15" s="101" t="str">
        <f t="shared" ref="BE15:BE18" si="9">IF(ISNUMBER(BB15/BA15),BB15/BA15, " - ")</f>
        <v xml:space="preserve"> - </v>
      </c>
      <c r="BF15" s="101" t="str">
        <f t="shared" ref="BF15:BF18" si="10">IF(ISNUMBER(BC15/BA15),BC15/BA15, " - ")</f>
        <v xml:space="preserve"> - </v>
      </c>
      <c r="BG15" s="102" t="str">
        <f t="shared" ref="BG15:BG18" si="11">IF(ISNUMBER((AY15+AZ15)/BA15),(AY15+AZ15)/BA15," - ")</f>
        <v xml:space="preserve"> - </v>
      </c>
      <c r="BH15" s="59"/>
      <c r="BI15" s="59"/>
      <c r="BJ15" s="49"/>
      <c r="BK15" s="59"/>
      <c r="BL15" s="59"/>
      <c r="BM15" s="154">
        <v>6650</v>
      </c>
      <c r="BN15" s="154"/>
      <c r="BO15" s="154"/>
      <c r="BP15" s="154"/>
      <c r="BQ15" s="154"/>
      <c r="BR15" s="154"/>
      <c r="BS15" s="154"/>
      <c r="BT15" s="154"/>
      <c r="BU15" s="154"/>
      <c r="BV15" s="154" t="s">
        <v>381</v>
      </c>
      <c r="BW15" s="154" t="s">
        <v>306</v>
      </c>
      <c r="BX15" s="154" t="s">
        <v>307</v>
      </c>
      <c r="BY15" s="213" t="s">
        <v>1009</v>
      </c>
      <c r="BZ15" s="213" t="s">
        <v>854</v>
      </c>
      <c r="CA15" s="154"/>
      <c r="CB15" s="154"/>
      <c r="CC15" s="154"/>
      <c r="CD15" s="154"/>
      <c r="CE15" s="154"/>
      <c r="CF15" s="154"/>
      <c r="CG15" s="154"/>
      <c r="CH15" s="154"/>
      <c r="CI15" s="154" t="s">
        <v>488</v>
      </c>
      <c r="CJ15" s="154" t="s">
        <v>398</v>
      </c>
      <c r="CK15" s="154" t="s">
        <v>463</v>
      </c>
      <c r="CL15" s="154" t="s">
        <v>464</v>
      </c>
      <c r="CM15" s="154" t="s">
        <v>465</v>
      </c>
      <c r="CN15" s="154">
        <v>1262</v>
      </c>
      <c r="CO15" s="154">
        <v>6600</v>
      </c>
      <c r="CP15" s="154">
        <v>1262</v>
      </c>
      <c r="CQ15" s="213" t="s">
        <v>878</v>
      </c>
      <c r="CR15" s="213" t="s">
        <v>855</v>
      </c>
      <c r="CS15" s="154" t="s">
        <v>390</v>
      </c>
      <c r="CT15" s="155"/>
      <c r="CU15" s="155"/>
      <c r="CV15" s="155" t="s">
        <v>375</v>
      </c>
      <c r="CW15" s="155" t="s">
        <v>338</v>
      </c>
      <c r="CX15" s="155" t="s">
        <v>160</v>
      </c>
      <c r="CY15" s="155"/>
      <c r="CZ15" s="155"/>
      <c r="DA15" s="155"/>
      <c r="DB15" s="146" t="s">
        <v>882</v>
      </c>
      <c r="DC15" s="146" t="s">
        <v>883</v>
      </c>
      <c r="DD15" s="155"/>
      <c r="DE15" s="155" t="s">
        <v>517</v>
      </c>
      <c r="DF15" s="155" t="s">
        <v>411</v>
      </c>
      <c r="DG15" s="155"/>
      <c r="DH15" s="154" t="s">
        <v>428</v>
      </c>
      <c r="DI15" s="154" t="s">
        <v>429</v>
      </c>
      <c r="DJ15" s="154" t="s">
        <v>430</v>
      </c>
      <c r="DK15" s="154"/>
      <c r="DL15" s="154"/>
      <c r="DM15" s="154"/>
      <c r="DN15" s="154"/>
      <c r="DO15" s="154"/>
      <c r="DP15" s="154"/>
      <c r="DQ15" s="154"/>
      <c r="DR15" s="154"/>
      <c r="DS15" s="154"/>
      <c r="DT15" s="154"/>
      <c r="DU15" s="154" t="s">
        <v>601</v>
      </c>
      <c r="DV15" s="154"/>
      <c r="DW15" s="154"/>
      <c r="DX15" s="154"/>
      <c r="DY15" s="154"/>
      <c r="DZ15" s="154"/>
      <c r="EA15" s="154"/>
      <c r="EB15" s="154" t="s">
        <v>728</v>
      </c>
      <c r="EC15" s="154" t="s">
        <v>609</v>
      </c>
      <c r="ED15" s="154"/>
      <c r="EE15" s="154">
        <v>6000</v>
      </c>
      <c r="EF15" s="154">
        <v>650</v>
      </c>
      <c r="EG15" s="154"/>
      <c r="EH15" s="154"/>
      <c r="EI15" s="154" t="s">
        <v>610</v>
      </c>
      <c r="EJ15" s="154"/>
      <c r="EK15" s="154"/>
      <c r="EL15" s="154"/>
      <c r="EM15" s="154"/>
      <c r="EN15" s="154"/>
      <c r="EO15" s="983" t="s">
        <v>884</v>
      </c>
      <c r="EP15" s="983" t="s">
        <v>893</v>
      </c>
      <c r="EQ15" s="983" t="s">
        <v>900</v>
      </c>
      <c r="ER15" s="998" t="s">
        <v>750</v>
      </c>
      <c r="ES15" s="993"/>
      <c r="ET15" s="1137"/>
      <c r="EU15" s="1137"/>
      <c r="EV15" s="155" t="s">
        <v>789</v>
      </c>
      <c r="EW15" s="154"/>
      <c r="EX15" s="154"/>
      <c r="EY15" s="154"/>
      <c r="EZ15" s="154"/>
    </row>
    <row r="16" spans="1:156" ht="14.25" customHeight="1">
      <c r="A16" s="1193" t="s">
        <v>1018</v>
      </c>
      <c r="B16" s="21" t="s">
        <v>403</v>
      </c>
      <c r="C16" s="22" t="s">
        <v>3</v>
      </c>
      <c r="D16" s="23" t="s">
        <v>20</v>
      </c>
      <c r="E16" s="21" t="s">
        <v>214</v>
      </c>
      <c r="F16" s="21" t="s">
        <v>81</v>
      </c>
      <c r="G16" s="6"/>
      <c r="H16" s="24"/>
      <c r="I16" s="25" t="s">
        <v>515</v>
      </c>
      <c r="J16" s="26" t="s">
        <v>881</v>
      </c>
      <c r="K16" s="26" t="s">
        <v>892</v>
      </c>
      <c r="L16" s="26" t="s">
        <v>899</v>
      </c>
      <c r="M16" s="26" t="s">
        <v>514</v>
      </c>
      <c r="N16" s="26" t="s">
        <v>325</v>
      </c>
      <c r="O16" s="57" t="s">
        <v>326</v>
      </c>
      <c r="P16" s="26" t="s">
        <v>474</v>
      </c>
      <c r="Q16" s="26" t="s">
        <v>475</v>
      </c>
      <c r="R16" s="26" t="s">
        <v>476</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728</v>
      </c>
      <c r="AT16" s="27" t="s">
        <v>725</v>
      </c>
      <c r="AU16" s="49" t="s">
        <v>518</v>
      </c>
      <c r="AV16" s="27" t="s">
        <v>726</v>
      </c>
      <c r="AW16" s="49" t="s">
        <v>519</v>
      </c>
      <c r="AX16" s="27" t="s">
        <v>727</v>
      </c>
      <c r="AY16" s="128" t="str">
        <f>IF(ISNUMBER(IF(Criterios!#REF!="SI",S16,S16+AK16)),IF(Criterios!#REF!="SI",S16,S16+AK16)," - ")</f>
        <v xml:space="preserve"> - </v>
      </c>
      <c r="AZ16" s="129" t="str">
        <f>IF(ISNUMBER(IF(Criterios!#REF!="SI",T16,T16+AL16)),IF(Criterios!#REF!="SI",T16,T16+AL16)," - ")</f>
        <v xml:space="preserve"> - </v>
      </c>
      <c r="BA16" s="129" t="str">
        <f>IF(ISNUMBER(IF(Criterios!#REF!="SI",U16,U16+AM16)),IF(Criterios!#REF!="SI",U16,U16+AM16)," - ")</f>
        <v xml:space="preserve"> - </v>
      </c>
      <c r="BB16" s="129" t="str">
        <f>IF(ISNUMBER(IF(Criterios!#REF!="SI",V16,V16+AN16)),IF(Criterios!#REF!="SI",V16,V16+AN16)," - ")</f>
        <v xml:space="preserve"> - </v>
      </c>
      <c r="BC16" s="125" t="str">
        <f t="shared" ref="BC16" si="12">IF(ISNUMBER(W16),W16," - ")</f>
        <v xml:space="preserve"> - </v>
      </c>
      <c r="BD16" s="100" t="str">
        <f t="shared" ref="BD16" si="13">IF(ISNUMBER(BA16/AZ16),BA16/AZ16," - ")</f>
        <v xml:space="preserve"> - </v>
      </c>
      <c r="BE16" s="101" t="str">
        <f t="shared" ref="BE16" si="14">IF(ISNUMBER(BB16/BA16),BB16/BA16, " - ")</f>
        <v xml:space="preserve"> - </v>
      </c>
      <c r="BF16" s="101" t="str">
        <f t="shared" ref="BF16" si="15">IF(ISNUMBER(BC16/BA16),BC16/BA16, " - ")</f>
        <v xml:space="preserve"> - </v>
      </c>
      <c r="BG16" s="102" t="str">
        <f t="shared" ref="BG16" si="16">IF(ISNUMBER((AY16+AZ16)/BA16),(AY16+AZ16)/BA16," - ")</f>
        <v xml:space="preserve"> - </v>
      </c>
      <c r="BH16" s="59"/>
      <c r="BI16" s="59"/>
      <c r="BJ16" s="49"/>
      <c r="BK16" s="59"/>
      <c r="BL16" s="59"/>
      <c r="BM16" s="154">
        <v>6650</v>
      </c>
      <c r="BN16" s="154"/>
      <c r="BO16" s="154"/>
      <c r="BP16" s="154"/>
      <c r="BQ16" s="154"/>
      <c r="BR16" s="154"/>
      <c r="BS16" s="154"/>
      <c r="BT16" s="154"/>
      <c r="BU16" s="154"/>
      <c r="BV16" s="154" t="s">
        <v>381</v>
      </c>
      <c r="BW16" s="154" t="s">
        <v>306</v>
      </c>
      <c r="BX16" s="154" t="s">
        <v>307</v>
      </c>
      <c r="BY16" s="213" t="s">
        <v>1009</v>
      </c>
      <c r="BZ16" s="213" t="s">
        <v>854</v>
      </c>
      <c r="CA16" s="154"/>
      <c r="CB16" s="154"/>
      <c r="CC16" s="154"/>
      <c r="CD16" s="154"/>
      <c r="CE16" s="154"/>
      <c r="CF16" s="154"/>
      <c r="CG16" s="154"/>
      <c r="CH16" s="154"/>
      <c r="CI16" s="154" t="s">
        <v>488</v>
      </c>
      <c r="CJ16" s="154" t="s">
        <v>398</v>
      </c>
      <c r="CK16" s="154" t="s">
        <v>463</v>
      </c>
      <c r="CL16" s="154" t="s">
        <v>464</v>
      </c>
      <c r="CM16" s="154" t="s">
        <v>465</v>
      </c>
      <c r="CN16" s="154">
        <v>1262</v>
      </c>
      <c r="CO16" s="154">
        <v>6600</v>
      </c>
      <c r="CP16" s="154">
        <v>1262</v>
      </c>
      <c r="CQ16" s="213" t="s">
        <v>878</v>
      </c>
      <c r="CR16" s="213" t="s">
        <v>855</v>
      </c>
      <c r="CS16" s="154" t="s">
        <v>390</v>
      </c>
      <c r="CT16" s="155"/>
      <c r="CU16" s="155"/>
      <c r="CV16" s="155" t="s">
        <v>375</v>
      </c>
      <c r="CW16" s="155" t="s">
        <v>338</v>
      </c>
      <c r="CX16" s="155" t="s">
        <v>160</v>
      </c>
      <c r="CY16" s="155"/>
      <c r="CZ16" s="155"/>
      <c r="DA16" s="155"/>
      <c r="DB16" s="146" t="s">
        <v>882</v>
      </c>
      <c r="DC16" s="146" t="s">
        <v>883</v>
      </c>
      <c r="DD16" s="155"/>
      <c r="DE16" s="155" t="s">
        <v>517</v>
      </c>
      <c r="DF16" s="155" t="s">
        <v>411</v>
      </c>
      <c r="DG16" s="155"/>
      <c r="DH16" s="154" t="s">
        <v>428</v>
      </c>
      <c r="DI16" s="154" t="s">
        <v>429</v>
      </c>
      <c r="DJ16" s="154" t="s">
        <v>430</v>
      </c>
      <c r="DK16" s="154"/>
      <c r="DL16" s="154"/>
      <c r="DM16" s="154"/>
      <c r="DN16" s="154"/>
      <c r="DO16" s="154"/>
      <c r="DP16" s="154"/>
      <c r="DQ16" s="154"/>
      <c r="DR16" s="154"/>
      <c r="DS16" s="154"/>
      <c r="DT16" s="154"/>
      <c r="DU16" s="154" t="s">
        <v>601</v>
      </c>
      <c r="DV16" s="154"/>
      <c r="DW16" s="154"/>
      <c r="DX16" s="154"/>
      <c r="DY16" s="154"/>
      <c r="DZ16" s="154"/>
      <c r="EA16" s="154"/>
      <c r="EB16" s="154" t="s">
        <v>728</v>
      </c>
      <c r="EC16" s="154" t="s">
        <v>609</v>
      </c>
      <c r="ED16" s="154"/>
      <c r="EE16" s="154">
        <v>6000</v>
      </c>
      <c r="EF16" s="154">
        <v>650</v>
      </c>
      <c r="EG16" s="154"/>
      <c r="EH16" s="154"/>
      <c r="EI16" s="154" t="s">
        <v>610</v>
      </c>
      <c r="EJ16" s="154"/>
      <c r="EK16" s="154"/>
      <c r="EL16" s="154"/>
      <c r="EM16" s="154"/>
      <c r="EN16" s="154"/>
      <c r="EO16" s="983" t="s">
        <v>884</v>
      </c>
      <c r="EP16" s="983" t="s">
        <v>893</v>
      </c>
      <c r="EQ16" s="983" t="s">
        <v>900</v>
      </c>
      <c r="ER16" s="998" t="s">
        <v>750</v>
      </c>
      <c r="ES16" s="993"/>
      <c r="ET16" s="1137"/>
      <c r="EU16" s="1137"/>
      <c r="EV16" s="155" t="s">
        <v>789</v>
      </c>
      <c r="EW16" s="154"/>
      <c r="EX16" s="154"/>
      <c r="EY16" s="154"/>
      <c r="EZ16" s="154"/>
    </row>
    <row r="17" spans="1:156" ht="14.25" customHeight="1">
      <c r="A17" s="20" t="s">
        <v>1014</v>
      </c>
      <c r="B17" s="21" t="s">
        <v>403</v>
      </c>
      <c r="C17" s="22" t="s">
        <v>3</v>
      </c>
      <c r="D17" s="23" t="s">
        <v>20</v>
      </c>
      <c r="E17" s="21" t="s">
        <v>20</v>
      </c>
      <c r="F17" s="21">
        <v>31</v>
      </c>
      <c r="G17" s="6"/>
      <c r="H17" s="24"/>
      <c r="I17" s="25" t="s">
        <v>515</v>
      </c>
      <c r="J17" s="26" t="s">
        <v>885</v>
      </c>
      <c r="K17" s="26" t="s">
        <v>894</v>
      </c>
      <c r="L17" s="26" t="s">
        <v>901</v>
      </c>
      <c r="M17" s="26" t="s">
        <v>514</v>
      </c>
      <c r="N17" s="26" t="s">
        <v>151</v>
      </c>
      <c r="O17" s="57" t="s">
        <v>226</v>
      </c>
      <c r="P17" s="26" t="s">
        <v>474</v>
      </c>
      <c r="Q17" s="26" t="s">
        <v>475</v>
      </c>
      <c r="R17" s="26" t="s">
        <v>476</v>
      </c>
      <c r="S17" s="26"/>
      <c r="T17" s="26"/>
      <c r="U17" s="26"/>
      <c r="V17" s="26"/>
      <c r="W17" s="26"/>
      <c r="X17" s="52"/>
      <c r="Y17" s="49"/>
      <c r="Z17" s="26"/>
      <c r="AA17" s="26"/>
      <c r="AB17" s="26"/>
      <c r="AC17" s="26" t="s">
        <v>44</v>
      </c>
      <c r="AD17" s="26" t="s">
        <v>48</v>
      </c>
      <c r="AE17" s="26" t="s">
        <v>49</v>
      </c>
      <c r="AF17" s="52" t="s">
        <v>50</v>
      </c>
      <c r="AG17" s="49"/>
      <c r="AH17" s="26"/>
      <c r="AI17" s="26"/>
      <c r="AJ17" s="27"/>
      <c r="AK17" s="25"/>
      <c r="AL17" s="26"/>
      <c r="AM17" s="26"/>
      <c r="AN17" s="52"/>
      <c r="AO17" s="59"/>
      <c r="AP17" s="59"/>
      <c r="AQ17" s="59"/>
      <c r="AR17" s="59"/>
      <c r="AS17" s="49" t="s">
        <v>886</v>
      </c>
      <c r="AT17" s="27"/>
      <c r="AU17" s="49" t="s">
        <v>895</v>
      </c>
      <c r="AV17" s="27"/>
      <c r="AW17" s="49" t="s">
        <v>902</v>
      </c>
      <c r="AX17" s="27"/>
      <c r="AY17" s="126" t="str">
        <f>IF(ISNUMBER(IF(Criterios!B14="SI",S17,S17+AK17)),IF(Criterios!B14="SI",S17,S17+AK17)," - ")</f>
        <v xml:space="preserve"> - </v>
      </c>
      <c r="AZ17" s="127" t="str">
        <f>IF(ISNUMBER(IF(Criterios!B14="SI",T17,T17+AL17)),IF(Criterios!B14="SI",T17,T17+AL17)," - ")</f>
        <v xml:space="preserve"> - </v>
      </c>
      <c r="BA17" s="127" t="str">
        <f>IF(ISNUMBER(IF(Criterios!B14="SI",U17,U17+AM17)),IF(Criterios!B14="SI",U17,U17+AM17)," - ")</f>
        <v xml:space="preserve"> - </v>
      </c>
      <c r="BB17" s="127" t="str">
        <f>IF(ISNUMBER(IF(Criterios!B14="SI",V17,V17+AN17)),IF(Criterios!B14="SI",V17,V17+AN17)," - ")</f>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49"/>
      <c r="BK17" s="59"/>
      <c r="BL17" s="59"/>
      <c r="BM17" s="156">
        <v>2500</v>
      </c>
      <c r="BN17" s="154"/>
      <c r="BO17" s="154"/>
      <c r="BP17" s="154"/>
      <c r="BQ17" s="154"/>
      <c r="BR17" s="154"/>
      <c r="BS17" s="154"/>
      <c r="BT17" s="153"/>
      <c r="BU17" s="153"/>
      <c r="BV17" s="154" t="s">
        <v>381</v>
      </c>
      <c r="BW17" s="154" t="s">
        <v>379</v>
      </c>
      <c r="BX17" s="154" t="s">
        <v>380</v>
      </c>
      <c r="BY17" s="172" t="s">
        <v>1010</v>
      </c>
      <c r="BZ17" s="156"/>
      <c r="CA17" s="156"/>
      <c r="CB17" s="156"/>
      <c r="CC17" s="156"/>
      <c r="CD17" s="156"/>
      <c r="CE17" s="156"/>
      <c r="CF17" s="156"/>
      <c r="CG17" s="156"/>
      <c r="CH17" s="156"/>
      <c r="CI17" s="156" t="s">
        <v>488</v>
      </c>
      <c r="CJ17" s="156" t="s">
        <v>398</v>
      </c>
      <c r="CK17" s="154" t="s">
        <v>463</v>
      </c>
      <c r="CL17" s="154" t="s">
        <v>464</v>
      </c>
      <c r="CM17" s="154" t="s">
        <v>465</v>
      </c>
      <c r="CN17" s="288" t="s">
        <v>333</v>
      </c>
      <c r="CO17" s="156">
        <v>2880</v>
      </c>
      <c r="CP17" s="213" t="s">
        <v>309</v>
      </c>
      <c r="CQ17" s="213" t="s">
        <v>878</v>
      </c>
      <c r="CR17" s="213"/>
      <c r="CS17" s="154" t="s">
        <v>390</v>
      </c>
      <c r="CT17" s="155"/>
      <c r="CU17" s="155"/>
      <c r="CV17" s="155" t="s">
        <v>375</v>
      </c>
      <c r="CW17" s="155" t="s">
        <v>338</v>
      </c>
      <c r="CX17" s="155" t="s">
        <v>160</v>
      </c>
      <c r="CY17" s="155"/>
      <c r="CZ17" s="155"/>
      <c r="DA17" s="155"/>
      <c r="DB17" s="146" t="s">
        <v>887</v>
      </c>
      <c r="DC17" s="146" t="s">
        <v>888</v>
      </c>
      <c r="DD17" s="155"/>
      <c r="DE17" s="155" t="s">
        <v>517</v>
      </c>
      <c r="DF17" s="155" t="s">
        <v>411</v>
      </c>
      <c r="DG17" s="155"/>
      <c r="DH17" s="154" t="s">
        <v>428</v>
      </c>
      <c r="DI17" s="154" t="s">
        <v>429</v>
      </c>
      <c r="DJ17" s="154" t="s">
        <v>430</v>
      </c>
      <c r="DK17" s="154"/>
      <c r="DL17" s="154"/>
      <c r="DM17" s="154"/>
      <c r="DN17" s="154"/>
      <c r="DO17" s="154"/>
      <c r="DP17" s="154"/>
      <c r="DQ17" s="154"/>
      <c r="DR17" s="154"/>
      <c r="DS17" s="154"/>
      <c r="DT17" s="154"/>
      <c r="DU17" s="154" t="s">
        <v>601</v>
      </c>
      <c r="DV17" s="154"/>
      <c r="DW17" s="154"/>
      <c r="DX17" s="154"/>
      <c r="DY17" s="154"/>
      <c r="DZ17" s="154"/>
      <c r="EA17" s="154"/>
      <c r="EB17" s="154"/>
      <c r="EC17" s="154"/>
      <c r="ED17" s="154"/>
      <c r="EE17" s="154"/>
      <c r="EF17" s="154"/>
      <c r="EG17" s="154"/>
      <c r="EH17" s="154"/>
      <c r="EI17" s="154" t="s">
        <v>610</v>
      </c>
      <c r="EJ17" s="154"/>
      <c r="EK17" s="154"/>
      <c r="EL17" s="154"/>
      <c r="EM17" s="154"/>
      <c r="EN17" s="154"/>
      <c r="EO17" s="983" t="s">
        <v>889</v>
      </c>
      <c r="EP17" s="983" t="s">
        <v>896</v>
      </c>
      <c r="EQ17" s="983" t="s">
        <v>903</v>
      </c>
      <c r="ER17" s="997">
        <v>1000</v>
      </c>
      <c r="ES17" s="993"/>
      <c r="ET17" s="1137"/>
      <c r="EU17" s="1137"/>
      <c r="EV17" s="155" t="s">
        <v>789</v>
      </c>
      <c r="EW17" s="154"/>
      <c r="EX17" s="154"/>
      <c r="EY17" s="154"/>
      <c r="EZ17" s="154"/>
    </row>
    <row r="18" spans="1:156" ht="14.25" customHeight="1">
      <c r="A18" s="20" t="s">
        <v>1017</v>
      </c>
      <c r="B18" s="21" t="s">
        <v>403</v>
      </c>
      <c r="C18" s="22" t="s">
        <v>3</v>
      </c>
      <c r="D18" s="23" t="s">
        <v>82</v>
      </c>
      <c r="E18" s="21" t="s">
        <v>82</v>
      </c>
      <c r="F18" s="21" t="s">
        <v>141</v>
      </c>
      <c r="G18" s="6"/>
      <c r="H18" s="24"/>
      <c r="I18" s="25" t="s">
        <v>147</v>
      </c>
      <c r="J18" s="26" t="s">
        <v>890</v>
      </c>
      <c r="K18" s="26" t="s">
        <v>897</v>
      </c>
      <c r="L18" s="26" t="s">
        <v>898</v>
      </c>
      <c r="M18" s="26" t="s">
        <v>513</v>
      </c>
      <c r="N18" s="26" t="s">
        <v>152</v>
      </c>
      <c r="O18" s="26" t="s">
        <v>227</v>
      </c>
      <c r="P18" s="26" t="s">
        <v>468</v>
      </c>
      <c r="Q18" s="26" t="s">
        <v>469</v>
      </c>
      <c r="R18" s="26" t="s">
        <v>470</v>
      </c>
      <c r="S18" s="26"/>
      <c r="T18" s="26"/>
      <c r="U18" s="26"/>
      <c r="V18" s="26"/>
      <c r="W18" s="26"/>
      <c r="X18" s="52"/>
      <c r="Y18" s="49"/>
      <c r="Z18" s="26"/>
      <c r="AA18" s="26"/>
      <c r="AB18" s="26"/>
      <c r="AC18" s="26"/>
      <c r="AD18" s="26"/>
      <c r="AE18" s="26"/>
      <c r="AF18" s="52"/>
      <c r="AG18" s="49"/>
      <c r="AH18" s="26"/>
      <c r="AI18" s="26"/>
      <c r="AJ18" s="27"/>
      <c r="AK18" s="25"/>
      <c r="AL18" s="26"/>
      <c r="AM18" s="26"/>
      <c r="AN18" s="52"/>
      <c r="AO18" s="59"/>
      <c r="AP18" s="59"/>
      <c r="AQ18" s="64"/>
      <c r="AR18" s="59"/>
      <c r="AS18" s="147" t="s">
        <v>521</v>
      </c>
      <c r="AT18" s="468" t="s">
        <v>328</v>
      </c>
      <c r="AU18" s="147" t="s">
        <v>329</v>
      </c>
      <c r="AV18" s="468" t="s">
        <v>330</v>
      </c>
      <c r="AW18" s="147" t="s">
        <v>331</v>
      </c>
      <c r="AX18" s="468" t="s">
        <v>332</v>
      </c>
      <c r="AY18" s="128" t="str">
        <f t="shared" ref="AY18:BB18" si="17">IF(ISNUMBER(S18),S18," - ")</f>
        <v xml:space="preserve"> - </v>
      </c>
      <c r="AZ18" s="129" t="str">
        <f t="shared" si="17"/>
        <v xml:space="preserve"> - </v>
      </c>
      <c r="BA18" s="129" t="str">
        <f t="shared" si="17"/>
        <v xml:space="preserve"> - </v>
      </c>
      <c r="BB18" s="129" t="str">
        <f t="shared" si="17"/>
        <v xml:space="preserve"> - </v>
      </c>
      <c r="BC18" s="125" t="str">
        <f t="shared" si="7"/>
        <v xml:space="preserve"> - </v>
      </c>
      <c r="BD18" s="100" t="str">
        <f t="shared" si="8"/>
        <v xml:space="preserve"> - </v>
      </c>
      <c r="BE18" s="101" t="str">
        <f t="shared" si="9"/>
        <v xml:space="preserve"> - </v>
      </c>
      <c r="BF18" s="101" t="str">
        <f t="shared" si="10"/>
        <v xml:space="preserve"> - </v>
      </c>
      <c r="BG18" s="102" t="str">
        <f t="shared" si="11"/>
        <v xml:space="preserve"> - </v>
      </c>
      <c r="BH18" s="59"/>
      <c r="BI18" s="59"/>
      <c r="BJ18" s="147"/>
      <c r="BK18" s="64"/>
      <c r="BL18" s="64"/>
      <c r="BM18" s="153">
        <v>1800</v>
      </c>
      <c r="BN18" s="153"/>
      <c r="BO18" s="153"/>
      <c r="BP18" s="153"/>
      <c r="BQ18" s="153"/>
      <c r="BR18" s="153"/>
      <c r="BS18" s="153"/>
      <c r="BT18" s="153"/>
      <c r="BU18" s="153"/>
      <c r="BV18" s="153" t="s">
        <v>310</v>
      </c>
      <c r="BW18" s="153" t="s">
        <v>312</v>
      </c>
      <c r="BX18" s="153" t="s">
        <v>313</v>
      </c>
      <c r="BY18" s="172" t="s">
        <v>1005</v>
      </c>
      <c r="BZ18" s="173" t="s">
        <v>1007</v>
      </c>
      <c r="CA18" s="153"/>
      <c r="CB18" s="153"/>
      <c r="CC18" s="153"/>
      <c r="CD18" s="153"/>
      <c r="CE18" s="153"/>
      <c r="CF18" s="153"/>
      <c r="CG18" s="153"/>
      <c r="CH18" s="153"/>
      <c r="CI18" s="153" t="s">
        <v>506</v>
      </c>
      <c r="CJ18" s="153" t="s">
        <v>300</v>
      </c>
      <c r="CK18" s="153" t="s">
        <v>466</v>
      </c>
      <c r="CL18" s="153" t="s">
        <v>467</v>
      </c>
      <c r="CM18" s="153" t="s">
        <v>467</v>
      </c>
      <c r="CN18" s="153">
        <v>1175</v>
      </c>
      <c r="CO18" s="153">
        <v>1800</v>
      </c>
      <c r="CP18" s="288" t="s">
        <v>418</v>
      </c>
      <c r="CQ18" s="153" t="s">
        <v>1008</v>
      </c>
      <c r="CR18" s="153"/>
      <c r="CS18" s="153" t="s">
        <v>614</v>
      </c>
      <c r="CT18" s="155"/>
      <c r="CU18" s="155"/>
      <c r="CV18" s="155" t="s">
        <v>315</v>
      </c>
      <c r="CW18" s="155" t="s">
        <v>339</v>
      </c>
      <c r="CX18" s="155" t="s">
        <v>342</v>
      </c>
      <c r="CY18" s="155"/>
      <c r="CZ18" s="155"/>
      <c r="DA18" s="155"/>
      <c r="DB18" s="319" t="s">
        <v>879</v>
      </c>
      <c r="DC18" s="325"/>
      <c r="DD18" s="155"/>
      <c r="DE18" s="326" t="s">
        <v>516</v>
      </c>
      <c r="DF18" s="326" t="s">
        <v>891</v>
      </c>
      <c r="DG18" s="155"/>
      <c r="DH18" s="153" t="s">
        <v>436</v>
      </c>
      <c r="DI18" s="153" t="s">
        <v>434</v>
      </c>
      <c r="DJ18" s="153" t="s">
        <v>435</v>
      </c>
      <c r="DK18" s="153"/>
      <c r="DL18" s="153"/>
      <c r="DM18" s="154"/>
      <c r="DN18" s="154"/>
      <c r="DO18" s="154"/>
      <c r="DP18" s="154"/>
      <c r="DQ18" s="154"/>
      <c r="DR18" s="154"/>
      <c r="DS18" s="154"/>
      <c r="DT18" s="154"/>
      <c r="DU18" s="154" t="s">
        <v>602</v>
      </c>
      <c r="DV18" s="154"/>
      <c r="DW18" s="154"/>
      <c r="DX18" s="154"/>
      <c r="DY18" s="154"/>
      <c r="DZ18" s="154"/>
      <c r="EA18" s="154"/>
      <c r="EB18" s="154" t="s">
        <v>608</v>
      </c>
      <c r="EC18" s="154" t="s">
        <v>611</v>
      </c>
      <c r="ED18" s="154"/>
      <c r="EE18" s="154">
        <v>1200</v>
      </c>
      <c r="EF18" s="154">
        <v>600</v>
      </c>
      <c r="EG18" s="154"/>
      <c r="EH18" s="154"/>
      <c r="EI18" s="154" t="s">
        <v>613</v>
      </c>
      <c r="EJ18" s="154"/>
      <c r="EK18" s="154"/>
      <c r="EL18" s="154"/>
      <c r="EM18" s="154"/>
      <c r="EN18" s="154"/>
      <c r="EO18" s="319" t="s">
        <v>879</v>
      </c>
      <c r="EP18" s="319" t="s">
        <v>897</v>
      </c>
      <c r="EQ18" s="319" t="s">
        <v>898</v>
      </c>
      <c r="ER18" s="996">
        <v>1600</v>
      </c>
      <c r="ES18" s="338"/>
      <c r="ET18" s="1137"/>
      <c r="EU18" s="1137"/>
      <c r="EV18" s="155" t="s">
        <v>792</v>
      </c>
      <c r="EW18" s="154"/>
      <c r="EX18" s="154"/>
      <c r="EY18" s="154"/>
      <c r="EZ18" s="154"/>
    </row>
    <row r="19" spans="1:156" ht="14.25" customHeight="1" thickBot="1">
      <c r="A19" s="74" t="s">
        <v>0</v>
      </c>
      <c r="B19" s="75" t="s">
        <v>403</v>
      </c>
      <c r="C19" s="76" t="s">
        <v>4</v>
      </c>
      <c r="D19" s="77"/>
      <c r="E19" s="78"/>
      <c r="F19" s="78"/>
      <c r="G19" s="79"/>
      <c r="H19" s="80"/>
      <c r="I19" s="106">
        <f t="shared" ref="I19:N19" si="18">SUBTOTAL(9,I15:I18)</f>
        <v>0</v>
      </c>
      <c r="J19" s="106">
        <f t="shared" si="18"/>
        <v>0</v>
      </c>
      <c r="K19" s="106">
        <f t="shared" si="18"/>
        <v>0</v>
      </c>
      <c r="L19" s="106">
        <f t="shared" si="18"/>
        <v>0</v>
      </c>
      <c r="M19" s="106">
        <f t="shared" si="18"/>
        <v>0</v>
      </c>
      <c r="N19" s="106">
        <f t="shared" si="18"/>
        <v>0</v>
      </c>
      <c r="O19" s="106"/>
      <c r="P19" s="106">
        <f t="shared" ref="P19:AO19" si="19">SUBTOTAL(9,P15:P18)</f>
        <v>0</v>
      </c>
      <c r="Q19" s="106">
        <f t="shared" si="19"/>
        <v>0</v>
      </c>
      <c r="R19" s="106">
        <f t="shared" si="19"/>
        <v>0</v>
      </c>
      <c r="S19" s="106">
        <f t="shared" si="19"/>
        <v>0</v>
      </c>
      <c r="T19" s="106">
        <f t="shared" si="19"/>
        <v>0</v>
      </c>
      <c r="U19" s="106">
        <f t="shared" si="19"/>
        <v>0</v>
      </c>
      <c r="V19" s="106">
        <f t="shared" si="19"/>
        <v>0</v>
      </c>
      <c r="W19" s="106">
        <f t="shared" si="19"/>
        <v>0</v>
      </c>
      <c r="X19" s="106">
        <f t="shared" si="19"/>
        <v>0</v>
      </c>
      <c r="Y19" s="107">
        <f t="shared" si="19"/>
        <v>0</v>
      </c>
      <c r="Z19" s="106">
        <f t="shared" si="19"/>
        <v>0</v>
      </c>
      <c r="AA19" s="106">
        <f t="shared" si="19"/>
        <v>0</v>
      </c>
      <c r="AB19" s="106">
        <f t="shared" si="19"/>
        <v>0</v>
      </c>
      <c r="AC19" s="106">
        <f t="shared" si="19"/>
        <v>0</v>
      </c>
      <c r="AD19" s="106">
        <f t="shared" si="19"/>
        <v>0</v>
      </c>
      <c r="AE19" s="106">
        <f t="shared" si="19"/>
        <v>0</v>
      </c>
      <c r="AF19" s="106">
        <f t="shared" si="19"/>
        <v>0</v>
      </c>
      <c r="AG19" s="107">
        <f t="shared" si="19"/>
        <v>0</v>
      </c>
      <c r="AH19" s="106">
        <f t="shared" si="19"/>
        <v>0</v>
      </c>
      <c r="AI19" s="106">
        <f t="shared" si="19"/>
        <v>0</v>
      </c>
      <c r="AJ19" s="108">
        <f t="shared" si="19"/>
        <v>0</v>
      </c>
      <c r="AK19" s="81">
        <f t="shared" si="19"/>
        <v>0</v>
      </c>
      <c r="AL19" s="106">
        <f t="shared" si="19"/>
        <v>0</v>
      </c>
      <c r="AM19" s="106">
        <f t="shared" si="19"/>
        <v>0</v>
      </c>
      <c r="AN19" s="110">
        <f t="shared" si="19"/>
        <v>0</v>
      </c>
      <c r="AO19" s="109">
        <f t="shared" si="19"/>
        <v>0</v>
      </c>
      <c r="AP19" s="139" t="e">
        <f>SUBTOTAL(9,AP15:AP18)-#REF!</f>
        <v>#REF!</v>
      </c>
      <c r="AQ19" s="109">
        <f>SUBTOTAL(9,AQ15:AQ18)</f>
        <v>0</v>
      </c>
      <c r="AR19" s="139" t="e">
        <f>SUBTOTAL(9,AR15:AR18)-#REF!</f>
        <v>#REF!</v>
      </c>
      <c r="AS19" s="139">
        <f t="shared" ref="AS19:BC19" si="20">SUBTOTAL(9,AS15:AS18)</f>
        <v>0</v>
      </c>
      <c r="AT19" s="139">
        <f t="shared" si="20"/>
        <v>0</v>
      </c>
      <c r="AU19" s="139">
        <f t="shared" si="20"/>
        <v>0</v>
      </c>
      <c r="AV19" s="139">
        <f t="shared" si="20"/>
        <v>0</v>
      </c>
      <c r="AW19" s="139">
        <f t="shared" si="20"/>
        <v>0</v>
      </c>
      <c r="AX19" s="139">
        <f t="shared" si="20"/>
        <v>0</v>
      </c>
      <c r="AY19" s="130">
        <f t="shared" si="20"/>
        <v>0</v>
      </c>
      <c r="AZ19" s="131">
        <f t="shared" si="20"/>
        <v>0</v>
      </c>
      <c r="BA19" s="131">
        <f t="shared" si="20"/>
        <v>0</v>
      </c>
      <c r="BB19" s="131">
        <f t="shared" si="20"/>
        <v>0</v>
      </c>
      <c r="BC19" s="132">
        <f t="shared" si="20"/>
        <v>0</v>
      </c>
      <c r="BD19" s="111" t="str">
        <f>IF(ISNUMBER(BA19/AZ19),BA19/AZ19," - ")</f>
        <v xml:space="preserve"> - </v>
      </c>
      <c r="BE19" s="112" t="str">
        <f>IF(ISNUMBER(BB19/BA19),BB19/BA19, " - ")</f>
        <v xml:space="preserve"> - </v>
      </c>
      <c r="BF19" s="112" t="str">
        <f>IF(ISNUMBER(BC19/BA19),BC19/BA19, " - ")</f>
        <v xml:space="preserve"> - </v>
      </c>
      <c r="BG19" s="113" t="str">
        <f>IF(ISNUMBER((AY19+AZ19)/BA19),(AY19+AZ19)/BA19," - ")</f>
        <v xml:space="preserve"> - </v>
      </c>
      <c r="BH19" s="139" t="e">
        <f>SUBTOTAL(9,BH15:BH18)-#REF!</f>
        <v>#REF!</v>
      </c>
      <c r="BI19" s="139" t="e">
        <f>SUBTOTAL(9,BI15:BI18)-#REF!</f>
        <v>#REF!</v>
      </c>
      <c r="BJ19" s="107"/>
      <c r="BK19" s="109">
        <f>SUBTOTAL(9,BK15:BK18)</f>
        <v>0</v>
      </c>
      <c r="BL19" s="109"/>
      <c r="BM19" s="150">
        <f>SUBTOTAL(9,BM15:BM18)</f>
        <v>17600</v>
      </c>
      <c r="BN19" s="150"/>
      <c r="BO19" s="150"/>
      <c r="BP19" s="150"/>
      <c r="BQ19" s="150"/>
      <c r="BR19" s="150"/>
      <c r="BS19" s="150"/>
      <c r="BT19" s="150"/>
      <c r="BU19" s="150"/>
      <c r="BV19" s="150"/>
      <c r="BW19" s="150"/>
      <c r="BX19" s="150"/>
      <c r="BY19" s="150"/>
      <c r="BZ19" s="150"/>
      <c r="CA19" s="150"/>
      <c r="CB19" s="150"/>
      <c r="CC19" s="150"/>
      <c r="CD19" s="150"/>
      <c r="CE19" s="150"/>
      <c r="CF19" s="150"/>
      <c r="CG19" s="150"/>
      <c r="CH19" s="150"/>
      <c r="CI19" s="150"/>
      <c r="CJ19" s="150"/>
      <c r="CK19" s="150"/>
      <c r="CL19" s="150"/>
      <c r="CM19" s="150"/>
      <c r="CN19" s="150"/>
      <c r="CO19" s="150"/>
      <c r="CP19" s="150"/>
      <c r="CQ19" s="150"/>
      <c r="CR19" s="150"/>
      <c r="CS19" s="150"/>
      <c r="CT19" s="150"/>
      <c r="CU19" s="150"/>
      <c r="CV19" s="150"/>
      <c r="CW19" s="150"/>
      <c r="CX19" s="150"/>
      <c r="CY19" s="150"/>
      <c r="CZ19" s="150"/>
      <c r="DA19" s="150"/>
      <c r="DB19" s="321"/>
      <c r="DC19" s="322"/>
      <c r="DD19" s="323"/>
      <c r="DE19" s="323"/>
      <c r="DF19" s="150"/>
      <c r="DG19" s="150"/>
      <c r="DH19" s="150"/>
      <c r="DI19" s="150"/>
      <c r="DJ19" s="150"/>
      <c r="DK19" s="150"/>
      <c r="DL19" s="150"/>
      <c r="DM19" s="150"/>
      <c r="DN19" s="150"/>
      <c r="DO19" s="150"/>
      <c r="DP19" s="150"/>
      <c r="DQ19" s="150"/>
      <c r="DR19" s="150"/>
      <c r="DS19" s="150"/>
      <c r="DT19" s="150"/>
      <c r="DU19" s="150"/>
      <c r="DV19" s="150"/>
      <c r="DW19" s="150"/>
      <c r="DX19" s="150"/>
      <c r="DY19" s="150"/>
      <c r="DZ19" s="150"/>
      <c r="EA19" s="150"/>
      <c r="EB19" s="150"/>
      <c r="EC19" s="150"/>
      <c r="ED19" s="150"/>
      <c r="EE19" s="150"/>
      <c r="EF19" s="150"/>
      <c r="EG19" s="150"/>
      <c r="EH19" s="150"/>
      <c r="EI19" s="150"/>
      <c r="EJ19" s="150"/>
      <c r="EK19" s="150"/>
      <c r="EL19" s="150"/>
      <c r="EM19" s="150"/>
      <c r="EN19" s="150"/>
      <c r="EO19" s="321"/>
      <c r="EP19" s="321"/>
      <c r="EQ19" s="321"/>
      <c r="ER19" s="150">
        <f>AVERAGE(ER15:ER18)</f>
        <v>1300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14">
        <f t="shared" ref="I20:N20" si="21">SUBTOTAL(9,I9:I19)</f>
        <v>0</v>
      </c>
      <c r="J20" s="114">
        <f t="shared" si="21"/>
        <v>0</v>
      </c>
      <c r="K20" s="114">
        <f t="shared" si="21"/>
        <v>0</v>
      </c>
      <c r="L20" s="114">
        <f t="shared" si="21"/>
        <v>0</v>
      </c>
      <c r="M20" s="114">
        <f t="shared" si="21"/>
        <v>0</v>
      </c>
      <c r="N20" s="114">
        <f t="shared" si="21"/>
        <v>0</v>
      </c>
      <c r="O20" s="114"/>
      <c r="P20" s="114">
        <f t="shared" ref="P20:AR20" si="22">SUBTOTAL(9,P9:P19)</f>
        <v>0</v>
      </c>
      <c r="Q20" s="114">
        <f t="shared" si="22"/>
        <v>0</v>
      </c>
      <c r="R20" s="114">
        <f t="shared" si="22"/>
        <v>0</v>
      </c>
      <c r="S20" s="114">
        <f t="shared" si="22"/>
        <v>0</v>
      </c>
      <c r="T20" s="114">
        <f t="shared" si="22"/>
        <v>0</v>
      </c>
      <c r="U20" s="114">
        <f t="shared" si="22"/>
        <v>0</v>
      </c>
      <c r="V20" s="114">
        <f t="shared" si="22"/>
        <v>0</v>
      </c>
      <c r="W20" s="114">
        <f t="shared" si="22"/>
        <v>0</v>
      </c>
      <c r="X20" s="114">
        <f t="shared" si="22"/>
        <v>0</v>
      </c>
      <c r="Y20" s="114">
        <f t="shared" si="22"/>
        <v>0</v>
      </c>
      <c r="Z20" s="114">
        <f t="shared" si="22"/>
        <v>0</v>
      </c>
      <c r="AA20" s="114">
        <f t="shared" si="22"/>
        <v>0</v>
      </c>
      <c r="AB20" s="114">
        <f t="shared" si="22"/>
        <v>0</v>
      </c>
      <c r="AC20" s="114">
        <f t="shared" si="22"/>
        <v>0</v>
      </c>
      <c r="AD20" s="114">
        <f t="shared" si="22"/>
        <v>0</v>
      </c>
      <c r="AE20" s="114">
        <f t="shared" si="22"/>
        <v>0</v>
      </c>
      <c r="AF20" s="114">
        <f t="shared" si="22"/>
        <v>0</v>
      </c>
      <c r="AG20" s="114">
        <f t="shared" si="22"/>
        <v>0</v>
      </c>
      <c r="AH20" s="114">
        <f t="shared" si="22"/>
        <v>0</v>
      </c>
      <c r="AI20" s="114">
        <f t="shared" si="22"/>
        <v>0</v>
      </c>
      <c r="AJ20" s="114">
        <f t="shared" si="22"/>
        <v>0</v>
      </c>
      <c r="AK20" s="114">
        <f t="shared" si="22"/>
        <v>0</v>
      </c>
      <c r="AL20" s="114">
        <f t="shared" si="22"/>
        <v>0</v>
      </c>
      <c r="AM20" s="114">
        <f t="shared" si="22"/>
        <v>0</v>
      </c>
      <c r="AN20" s="115">
        <f t="shared" si="22"/>
        <v>0</v>
      </c>
      <c r="AO20" s="116">
        <f t="shared" si="22"/>
        <v>0</v>
      </c>
      <c r="AP20" s="116">
        <f t="shared" si="22"/>
        <v>0</v>
      </c>
      <c r="AQ20" s="116">
        <f t="shared" si="22"/>
        <v>0</v>
      </c>
      <c r="AR20" s="116">
        <f t="shared" si="22"/>
        <v>0</v>
      </c>
      <c r="AS20" s="327"/>
      <c r="AT20" s="211"/>
      <c r="AU20" s="327"/>
      <c r="AV20" s="211"/>
      <c r="AW20" s="210"/>
      <c r="AX20" s="211"/>
      <c r="AY20" s="133">
        <f>SUBTOTAL(9,AY9:AY19)</f>
        <v>0</v>
      </c>
      <c r="AZ20" s="134">
        <f>SUBTOTAL(9,AZ9:AZ19)</f>
        <v>0</v>
      </c>
      <c r="BA20" s="134">
        <f>SUBTOTAL(9,BA9:BA19)</f>
        <v>0</v>
      </c>
      <c r="BB20" s="134">
        <f>SUBTOTAL(9,BB9:BB19)</f>
        <v>0</v>
      </c>
      <c r="BC20" s="135">
        <f>SUBTOTAL(9,BC9:BC19)</f>
        <v>0</v>
      </c>
      <c r="BD20" s="117" t="str">
        <f>IF(ISNUMBER(BA20/AZ20),BA20/AZ20," - ")</f>
        <v xml:space="preserve"> - </v>
      </c>
      <c r="BE20" s="118" t="str">
        <f>IF(ISNUMBER(BB20/BA20),BB20/BA20, " - ")</f>
        <v xml:space="preserve"> - </v>
      </c>
      <c r="BF20" s="118" t="str">
        <f>IF(ISNUMBER(BC20/BA20),BC20/BA20, " - ")</f>
        <v xml:space="preserve"> - </v>
      </c>
      <c r="BG20" s="119" t="str">
        <f>IF(ISNUMBER((AY20+AZ20)/BA20),(AY20+AZ20)/BA20," - ")</f>
        <v xml:space="preserve"> - </v>
      </c>
      <c r="BH20" s="116">
        <f>SUBTOTAL(9,BH9:BH19)</f>
        <v>0</v>
      </c>
      <c r="BI20" s="116">
        <f>SUBTOTAL(9,BI9:BI19)</f>
        <v>0</v>
      </c>
      <c r="BJ20" s="116"/>
      <c r="BK20" s="116">
        <f>SUBTOTAL(9,BK9:BK19)</f>
        <v>0</v>
      </c>
      <c r="BL20" s="116"/>
      <c r="BM20" s="152">
        <f>SUBTOTAL(9,BM9:BM19)</f>
        <v>19700</v>
      </c>
      <c r="BN20" s="152"/>
      <c r="BO20" s="152"/>
      <c r="BP20" s="152"/>
      <c r="BQ20" s="152"/>
      <c r="BR20" s="152"/>
      <c r="BS20" s="152"/>
      <c r="BT20" s="152"/>
      <c r="BU20" s="152"/>
      <c r="BV20" s="152"/>
      <c r="BW20" s="152"/>
      <c r="BX20" s="152"/>
      <c r="BY20" s="152"/>
      <c r="BZ20" s="152"/>
      <c r="CA20" s="152"/>
      <c r="CB20" s="152"/>
      <c r="CC20" s="152"/>
      <c r="CD20" s="152"/>
      <c r="CE20" s="152"/>
      <c r="CF20" s="152"/>
      <c r="CG20" s="152"/>
      <c r="CH20" s="152"/>
      <c r="CI20" s="152"/>
      <c r="CJ20" s="152"/>
      <c r="CK20" s="152"/>
      <c r="CL20" s="152"/>
      <c r="CM20" s="152"/>
      <c r="CN20" s="152"/>
      <c r="CO20" s="152"/>
      <c r="CP20" s="152"/>
      <c r="CQ20" s="152"/>
      <c r="CR20" s="152"/>
      <c r="CS20" s="152"/>
      <c r="CT20" s="152"/>
      <c r="CU20" s="152"/>
      <c r="CV20" s="152"/>
      <c r="CW20" s="152"/>
      <c r="CX20" s="152"/>
      <c r="CY20" s="152"/>
      <c r="CZ20" s="152"/>
      <c r="DA20" s="152"/>
      <c r="DB20" s="327"/>
      <c r="DC20" s="328"/>
      <c r="DD20" s="327"/>
      <c r="DE20" s="327"/>
      <c r="DF20" s="152"/>
      <c r="DG20" s="152"/>
      <c r="DH20" s="152"/>
      <c r="DI20" s="152"/>
      <c r="DJ20" s="152"/>
      <c r="DK20" s="152"/>
      <c r="DL20" s="152"/>
      <c r="DM20" s="152"/>
      <c r="DN20" s="152"/>
      <c r="DO20" s="152"/>
      <c r="DP20" s="152"/>
      <c r="DQ20" s="152"/>
      <c r="DR20" s="152"/>
      <c r="DS20" s="152"/>
      <c r="DT20" s="152"/>
      <c r="DU20" s="152"/>
      <c r="DV20" s="152"/>
      <c r="DW20" s="152"/>
      <c r="DX20" s="152"/>
      <c r="DY20" s="152"/>
      <c r="DZ20" s="152"/>
      <c r="EA20" s="152"/>
      <c r="EB20" s="152"/>
      <c r="EC20" s="152"/>
      <c r="ED20" s="152"/>
      <c r="EE20" s="152"/>
      <c r="EF20" s="152"/>
      <c r="EG20" s="152"/>
      <c r="EH20" s="152"/>
      <c r="EI20" s="152"/>
      <c r="EJ20" s="152"/>
      <c r="EK20" s="152"/>
      <c r="EL20" s="152"/>
      <c r="EM20" s="152"/>
      <c r="EN20" s="152"/>
      <c r="EO20" s="327"/>
      <c r="EP20" s="327"/>
      <c r="EQ20" s="327"/>
      <c r="ER20" s="150">
        <f>AVERAGE(ER9:ER19)</f>
        <v>1211.6500000000001</v>
      </c>
      <c r="ES20" s="150">
        <f>AVERAGE(ES9:ES19)</f>
        <v>0</v>
      </c>
      <c r="ET20" s="150"/>
      <c r="EU20" s="150"/>
      <c r="EV20" s="150">
        <f>AVERAGE(EV9:EV19)</f>
        <v>0</v>
      </c>
      <c r="EW20" s="152"/>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7rT28pRdaYlxfoFQJZ9Wzam2xUyVIqiok4GmC6j9OxDg899xDtrv5NshDfse9LGyMGFVPTSjtB/FzL70qFBhGA==" saltValue="1axBC1litI4PpNHbcTV8gg=="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CS11:DG11 BK17:CJ17 CO17 CS17:DE17 EV17 EO11:EQ11 I9:R9 Y9:AB9 AP10 AR10 Y11:AB12 AO11:AR11 BK11:BU11 BY11:BZ11 CE11:CJ11 I11:R12 I15:R18 AP17:AR17 AO17:AO18 BH17:BI18 AP18 AR18 BH10:BI11">
    <cfRule type="cellIs" dxfId="568" priority="773" stopIfTrue="1" operator="equal">
      <formula>$A$31</formula>
    </cfRule>
  </conditionalFormatting>
  <conditionalFormatting sqref="I13:BC14 I19:BC19 BH19:EQ19 I20:EQ20 EW20:EZ20">
    <cfRule type="cellIs" dxfId="567" priority="1879" stopIfTrue="1" operator="equal">
      <formula>$A$32</formula>
    </cfRule>
  </conditionalFormatting>
  <conditionalFormatting sqref="I8:EZ8">
    <cfRule type="cellIs" dxfId="566" priority="14" stopIfTrue="1" operator="equal">
      <formula>$A$32</formula>
    </cfRule>
  </conditionalFormatting>
  <conditionalFormatting sqref="AO9:AO10 AQ9:AQ10 BK9:CM10 CS9:CS10 S9:X12 AC9:AN12 BJ9:BJ12 CN9:CR12 Y10:AB10 BV11:BX11 CA11:CD11 CK11:CM12 AO12:AR12 BH12:BI12 CS12 S15:AR16 BH15:DF16 DH15:DL18 EB15:EG18 EV15:EV18 BT17:BX17 CK17:CL17 CM17:DF18 S17:AN18 BJ17:BJ18 AQ18 BK18:BX18 BZ18:CL18 CT9:EQ12 ES9:ES12 EV9:EZ12">
    <cfRule type="cellIs" dxfId="565" priority="772" stopIfTrue="1" operator="equal">
      <formula>$A$32</formula>
    </cfRule>
  </conditionalFormatting>
  <conditionalFormatting sqref="AP9">
    <cfRule type="cellIs" dxfId="564" priority="427" stopIfTrue="1" operator="equal">
      <formula>$A$32</formula>
    </cfRule>
  </conditionalFormatting>
  <conditionalFormatting sqref="AR9:AX9">
    <cfRule type="cellIs" dxfId="563" priority="712" stopIfTrue="1" operator="equal">
      <formula>$A$32</formula>
    </cfRule>
  </conditionalFormatting>
  <conditionalFormatting sqref="AS15:AX18 AS10:AX12">
    <cfRule type="cellIs" dxfId="562" priority="650" stopIfTrue="1" operator="equal">
      <formula>$A$30</formula>
    </cfRule>
  </conditionalFormatting>
  <conditionalFormatting sqref="BD14:BG14">
    <cfRule type="cellIs" dxfId="561" priority="2185" stopIfTrue="1" operator="equal">
      <formula>$A$32</formula>
    </cfRule>
  </conditionalFormatting>
  <conditionalFormatting sqref="BH9:BI9">
    <cfRule type="cellIs" dxfId="560" priority="741" stopIfTrue="1" operator="equal">
      <formula>$A$32</formula>
    </cfRule>
  </conditionalFormatting>
  <conditionalFormatting sqref="BH13:EQ14">
    <cfRule type="cellIs" dxfId="559" priority="287" stopIfTrue="1" operator="equal">
      <formula>$A$32</formula>
    </cfRule>
  </conditionalFormatting>
  <conditionalFormatting sqref="BK12:CJ12">
    <cfRule type="cellIs" dxfId="558" priority="2184" stopIfTrue="1" operator="equal">
      <formula>$A$32</formula>
    </cfRule>
  </conditionalFormatting>
  <conditionalFormatting sqref="BV15:BV16">
    <cfRule type="cellIs" dxfId="557" priority="640" stopIfTrue="1" operator="equal">
      <formula>$A$31</formula>
    </cfRule>
  </conditionalFormatting>
  <conditionalFormatting sqref="BY18">
    <cfRule type="cellIs" dxfId="556" priority="636" stopIfTrue="1" operator="equal">
      <formula>$A$31</formula>
    </cfRule>
  </conditionalFormatting>
  <conditionalFormatting sqref="CO11">
    <cfRule type="cellIs" dxfId="555" priority="2186" stopIfTrue="1" operator="equal">
      <formula>$A$31</formula>
    </cfRule>
  </conditionalFormatting>
  <conditionalFormatting sqref="DB15:DB16">
    <cfRule type="cellIs" dxfId="554" priority="699" stopIfTrue="1" operator="equal">
      <formula>$A$31</formula>
    </cfRule>
  </conditionalFormatting>
  <conditionalFormatting sqref="DC15:DC17">
    <cfRule type="cellIs" dxfId="553" priority="682" stopIfTrue="1" operator="equal">
      <formula>$A$31</formula>
    </cfRule>
  </conditionalFormatting>
  <conditionalFormatting sqref="DE18">
    <cfRule type="cellIs" dxfId="552" priority="698" stopIfTrue="1" operator="equal">
      <formula>$A$31</formula>
    </cfRule>
  </conditionalFormatting>
  <conditionalFormatting sqref="DF1">
    <cfRule type="cellIs" dxfId="551" priority="2001" stopIfTrue="1" operator="equal">
      <formula>$A$32</formula>
    </cfRule>
  </conditionalFormatting>
  <conditionalFormatting sqref="DF17:DF18">
    <cfRule type="cellIs" dxfId="550" priority="685" stopIfTrue="1" operator="equal">
      <formula>$A$31</formula>
    </cfRule>
  </conditionalFormatting>
  <conditionalFormatting sqref="DG15:DG18">
    <cfRule type="cellIs" dxfId="549" priority="648" stopIfTrue="1" operator="equal">
      <formula>$A$32</formula>
    </cfRule>
  </conditionalFormatting>
  <conditionalFormatting sqref="DG17">
    <cfRule type="cellIs" dxfId="548" priority="649" stopIfTrue="1" operator="equal">
      <formula>$A$31</formula>
    </cfRule>
  </conditionalFormatting>
  <conditionalFormatting sqref="DM15:EA18">
    <cfRule type="cellIs" dxfId="547" priority="485" stopIfTrue="1" operator="equal">
      <formula>$A$32</formula>
    </cfRule>
  </conditionalFormatting>
  <conditionalFormatting sqref="EH15:EK18">
    <cfRule type="cellIs" dxfId="546" priority="539" stopIfTrue="1" operator="equal">
      <formula>$A$32</formula>
    </cfRule>
  </conditionalFormatting>
  <conditionalFormatting sqref="EL15:EN18">
    <cfRule type="cellIs" dxfId="545" priority="431" stopIfTrue="1" operator="equal">
      <formula>$A$32</formula>
    </cfRule>
  </conditionalFormatting>
  <conditionalFormatting sqref="EO15:EQ17">
    <cfRule type="cellIs" dxfId="544" priority="277" stopIfTrue="1" operator="equal">
      <formula>$A$31</formula>
    </cfRule>
  </conditionalFormatting>
  <conditionalFormatting sqref="EO15:EQ18">
    <cfRule type="cellIs" dxfId="543" priority="286" stopIfTrue="1" operator="equal">
      <formula>$A$32</formula>
    </cfRule>
  </conditionalFormatting>
  <conditionalFormatting sqref="EO17:EQ17">
    <cfRule type="cellIs" dxfId="542" priority="288" stopIfTrue="1" operator="equal">
      <formula>$A$31</formula>
    </cfRule>
  </conditionalFormatting>
  <conditionalFormatting sqref="ER14:EY14">
    <cfRule type="cellIs" dxfId="541" priority="31" stopIfTrue="1" operator="equal">
      <formula>$A$32</formula>
    </cfRule>
  </conditionalFormatting>
  <conditionalFormatting sqref="ES11">
    <cfRule type="cellIs" dxfId="540" priority="181" stopIfTrue="1" operator="equal">
      <formula>$A$31</formula>
    </cfRule>
  </conditionalFormatting>
  <conditionalFormatting sqref="ES15:ES17">
    <cfRule type="cellIs" dxfId="539" priority="170" stopIfTrue="1" operator="equal">
      <formula>$A$31</formula>
    </cfRule>
  </conditionalFormatting>
  <conditionalFormatting sqref="ES15:ES18">
    <cfRule type="cellIs" dxfId="538" priority="172" stopIfTrue="1" operator="equal">
      <formula>$A$32</formula>
    </cfRule>
  </conditionalFormatting>
  <conditionalFormatting sqref="ES17">
    <cfRule type="cellIs" dxfId="537" priority="173" stopIfTrue="1" operator="equal">
      <formula>$A$31</formula>
    </cfRule>
  </conditionalFormatting>
  <conditionalFormatting sqref="ES19">
    <cfRule type="cellIs" dxfId="536" priority="126" stopIfTrue="1" operator="equal">
      <formula>$A$32</formula>
    </cfRule>
  </conditionalFormatting>
  <conditionalFormatting sqref="ES13:EY13">
    <cfRule type="cellIs" dxfId="535" priority="35" stopIfTrue="1" operator="equal">
      <formula>$A$32</formula>
    </cfRule>
  </conditionalFormatting>
  <conditionalFormatting sqref="EU19:EZ19">
    <cfRule type="cellIs" dxfId="534" priority="10" stopIfTrue="1" operator="equal">
      <formula>$A$32</formula>
    </cfRule>
  </conditionalFormatting>
  <conditionalFormatting sqref="EV11">
    <cfRule type="cellIs" dxfId="533" priority="83" stopIfTrue="1" operator="equal">
      <formula>$A$31</formula>
    </cfRule>
  </conditionalFormatting>
  <conditionalFormatting sqref="EW15:EZ18">
    <cfRule type="cellIs" dxfId="532" priority="1" stopIfTrue="1" operator="equal">
      <formula>$A$32</formula>
    </cfRule>
  </conditionalFormatting>
  <conditionalFormatting sqref="EZ13:EZ14">
    <cfRule type="cellIs" dxfId="531" priority="12" stopIfTrue="1" operator="equal">
      <formula>$A$32</formula>
    </cfRule>
  </conditionalFormatting>
  <conditionalFormatting sqref="I10:R10">
    <cfRule type="cellIs" dxfId="530" priority="5020" stopIfTrue="1" operator="equal">
      <formula>$B$31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1"/>
  <dimension ref="A1:BZ33"/>
  <sheetViews>
    <sheetView topLeftCell="C7" zoomScale="85" zoomScaleNormal="85" workbookViewId="0">
      <selection activeCell="C25" sqref="A25:XFD25"/>
    </sheetView>
  </sheetViews>
  <sheetFormatPr baseColWidth="10" defaultColWidth="11.42578125" defaultRowHeight="12.75"/>
  <cols>
    <col min="1" max="1" width="15.42578125" style="486" hidden="1" customWidth="1"/>
    <col min="2" max="2" width="9.42578125" style="486" hidden="1" customWidth="1"/>
    <col min="3" max="3" width="37.28515625" style="1253" bestFit="1" customWidth="1"/>
    <col min="4" max="4" width="7.42578125" style="1253" customWidth="1"/>
    <col min="5" max="5" width="16.7109375" style="1253" customWidth="1"/>
    <col min="6" max="6" width="15.85546875" style="1253" customWidth="1"/>
    <col min="7" max="7" width="13.5703125" style="1253" customWidth="1"/>
    <col min="8" max="8" width="14.28515625" style="1253" customWidth="1"/>
    <col min="9" max="9" width="14" style="1253" customWidth="1"/>
    <col min="10" max="11" width="14.42578125" style="1192" customWidth="1"/>
    <col min="12" max="14" width="14.28515625" style="1253" customWidth="1"/>
    <col min="15" max="16" width="14.28515625" style="571" customWidth="1"/>
    <col min="17" max="17" width="14.7109375" style="1253" customWidth="1"/>
    <col min="18" max="18" width="14.28515625" style="1253" customWidth="1"/>
    <col min="19" max="20" width="14.28515625" style="491" customWidth="1"/>
    <col min="21" max="21" width="14.28515625" style="1253" customWidth="1"/>
    <col min="22" max="22" width="14.28515625" style="491" customWidth="1"/>
    <col min="23" max="23" width="13.7109375" style="1192" customWidth="1"/>
    <col min="24" max="24" width="13" style="1253" customWidth="1"/>
    <col min="25" max="25" width="14.28515625" style="606" customWidth="1"/>
    <col min="26" max="26" width="12.85546875" style="1253" customWidth="1"/>
    <col min="27" max="27" width="14.28515625" style="491" customWidth="1"/>
    <col min="28" max="28" width="14.85546875" style="1253" customWidth="1"/>
    <col min="29" max="31" width="16.28515625" style="1253" customWidth="1"/>
    <col min="32" max="32" width="14.28515625" style="1253" customWidth="1"/>
    <col min="33" max="44" width="16.28515625" style="1253" customWidth="1"/>
    <col min="45" max="45" width="12.5703125" style="1253" customWidth="1"/>
    <col min="46" max="54" width="13" style="1253" customWidth="1"/>
    <col min="55" max="56" width="12.85546875" style="1253" customWidth="1"/>
    <col min="57" max="58" width="11.42578125" style="1253"/>
    <col min="59" max="59" width="12.42578125" style="1253" customWidth="1"/>
    <col min="60" max="60" width="12.28515625" style="1253" customWidth="1"/>
    <col min="61" max="61" width="12.42578125" style="1253" customWidth="1"/>
    <col min="62" max="62" width="16.140625" style="491" customWidth="1"/>
    <col min="63" max="63" width="16.140625" style="571" customWidth="1"/>
    <col min="64" max="65" width="14.5703125" style="1253" customWidth="1"/>
    <col min="66" max="67" width="14.5703125" style="571" customWidth="1"/>
    <col min="68" max="71" width="13.42578125" style="1253" customWidth="1"/>
    <col min="72" max="73" width="14.85546875" style="1253" customWidth="1"/>
    <col min="74" max="74" width="14.85546875" style="1253" hidden="1" customWidth="1"/>
    <col min="75" max="75" width="11.42578125" style="1253" customWidth="1"/>
    <col min="76" max="77" width="11.42578125" style="1253"/>
    <col min="78" max="78" width="0" style="1421" hidden="1" customWidth="1"/>
    <col min="79" max="16384" width="11.42578125" style="1253"/>
  </cols>
  <sheetData>
    <row r="1" spans="1:78">
      <c r="C1" s="1422" t="str">
        <f>Criterios!A9 &amp;"  "&amp;Criterios!B9</f>
        <v>Tribunales de Justicia  ANDALUCIA</v>
      </c>
    </row>
    <row r="2" spans="1:78" ht="16.5" customHeight="1">
      <c r="C2" s="1263" t="str">
        <f>Criterios!A10 &amp;"  "&amp;Criterios!B10 &amp; "  " &amp; IF(NOT(ISBLANK(Criterios!A11)),Criterios!A11 &amp;"  "&amp;Criterios!B11,"")</f>
        <v>Provincias  CADIZ  Resumenes por Partidos Judiciales  SAN ROQUE</v>
      </c>
      <c r="D2" s="1263"/>
      <c r="E2" s="1264"/>
      <c r="F2" s="1264"/>
      <c r="G2" s="1265"/>
      <c r="I2" s="1264"/>
      <c r="J2" s="1227"/>
      <c r="K2" s="1227"/>
      <c r="L2" s="1264"/>
      <c r="M2" s="1264"/>
      <c r="N2" s="1264"/>
      <c r="O2" s="1323"/>
      <c r="P2" s="1323"/>
      <c r="Q2" s="1264"/>
      <c r="U2" s="1264"/>
      <c r="V2" s="1266"/>
      <c r="Y2" s="1341"/>
    </row>
    <row r="3" spans="1:78" ht="30" customHeight="1">
      <c r="C3" s="1359"/>
      <c r="D3" s="1267"/>
      <c r="G3" s="1265"/>
      <c r="I3" s="1264"/>
      <c r="BZ3" s="1253"/>
    </row>
    <row r="4" spans="1:78" ht="17.25" customHeight="1" thickBot="1">
      <c r="C4" s="1345"/>
      <c r="D4" s="1268"/>
      <c r="E4" s="1269"/>
      <c r="F4" s="1269"/>
      <c r="G4" s="1269"/>
      <c r="H4" s="1269"/>
      <c r="I4" s="1269"/>
      <c r="J4" s="1244"/>
      <c r="K4" s="1244"/>
      <c r="L4" s="1269"/>
      <c r="M4" s="1269"/>
      <c r="N4" s="1269"/>
      <c r="O4" s="1323"/>
      <c r="P4" s="1269"/>
      <c r="Q4" s="1269"/>
      <c r="R4" s="1269"/>
      <c r="S4" s="1266"/>
      <c r="T4" s="1266"/>
      <c r="U4" s="1269"/>
      <c r="V4" s="1269"/>
      <c r="Y4" s="1341"/>
      <c r="Z4" s="1269"/>
      <c r="AA4" s="1269"/>
      <c r="AB4" s="1269"/>
      <c r="AC4" s="1269"/>
      <c r="AD4" s="1269"/>
      <c r="AE4" s="1269"/>
      <c r="AF4" s="1269"/>
      <c r="AG4" s="1269"/>
      <c r="AH4" s="1269"/>
      <c r="AI4" s="1269"/>
      <c r="AJ4" s="1269"/>
      <c r="AK4" s="1269"/>
      <c r="AL4" s="1269"/>
      <c r="AM4" s="1269"/>
      <c r="AN4" s="1269"/>
      <c r="AO4" s="1269"/>
      <c r="AP4" s="1269"/>
      <c r="AQ4" s="1269"/>
      <c r="AR4" s="1269"/>
      <c r="AS4" s="1269"/>
      <c r="AT4" s="1269"/>
      <c r="AU4" s="1269"/>
      <c r="AV4" s="1269"/>
      <c r="AW4" s="1269"/>
      <c r="AX4" s="1269"/>
      <c r="AY4" s="1269"/>
      <c r="AZ4" s="1269"/>
      <c r="BA4" s="1269"/>
      <c r="BB4" s="1269"/>
      <c r="BC4" s="1269"/>
      <c r="BD4" s="1269"/>
      <c r="BE4" s="1269"/>
      <c r="BF4" s="1269"/>
      <c r="BG4" s="1269"/>
      <c r="BH4" s="1269"/>
      <c r="BI4" s="1269"/>
      <c r="BJ4" s="1269"/>
      <c r="BK4" s="1269"/>
      <c r="BL4" s="1269"/>
      <c r="BM4" s="1269"/>
      <c r="BN4" s="1269"/>
      <c r="BO4" s="1269"/>
      <c r="BP4" s="1269"/>
      <c r="BQ4" s="1269"/>
      <c r="BR4" s="1269"/>
      <c r="BS4" s="1269"/>
      <c r="BT4" s="1269"/>
      <c r="BU4" s="1269"/>
      <c r="BV4" s="1269"/>
      <c r="BZ4" s="1253"/>
    </row>
    <row r="5" spans="1:78" ht="15.75" customHeight="1">
      <c r="A5" s="1542" t="s">
        <v>352</v>
      </c>
      <c r="B5" s="1230"/>
      <c r="C5" s="1807"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795" t="s">
        <v>659</v>
      </c>
      <c r="Z5" s="1798" t="s">
        <v>605</v>
      </c>
      <c r="AA5" s="1801" t="s">
        <v>556</v>
      </c>
      <c r="AB5" s="1798" t="s">
        <v>557</v>
      </c>
      <c r="AC5" s="1798" t="s">
        <v>558</v>
      </c>
      <c r="AD5" s="1789" t="s">
        <v>660</v>
      </c>
      <c r="AE5" s="1789" t="s">
        <v>762</v>
      </c>
      <c r="AF5" s="1774" t="s">
        <v>672</v>
      </c>
      <c r="AG5" s="1774" t="s">
        <v>523</v>
      </c>
      <c r="AH5" s="1774" t="s">
        <v>661</v>
      </c>
      <c r="AI5" s="1774" t="s">
        <v>180</v>
      </c>
      <c r="AJ5" s="1774" t="s">
        <v>724</v>
      </c>
      <c r="AK5" s="1774" t="s">
        <v>524</v>
      </c>
      <c r="AL5" s="1774" t="s">
        <v>525</v>
      </c>
      <c r="AM5" s="1774" t="s">
        <v>677</v>
      </c>
      <c r="AN5" s="1774" t="s">
        <v>526</v>
      </c>
      <c r="AO5" s="1774" t="s">
        <v>527</v>
      </c>
      <c r="AP5" s="1774" t="s">
        <v>528</v>
      </c>
      <c r="AQ5" s="1774" t="s">
        <v>529</v>
      </c>
      <c r="AR5" s="1774" t="s">
        <v>662</v>
      </c>
      <c r="AS5" s="1774" t="s">
        <v>183</v>
      </c>
      <c r="AT5" s="1780" t="s">
        <v>181</v>
      </c>
      <c r="AU5" s="1774" t="s">
        <v>673</v>
      </c>
      <c r="AV5" s="1783" t="s">
        <v>674</v>
      </c>
      <c r="AW5" s="1777" t="s">
        <v>531</v>
      </c>
      <c r="AX5" s="1774" t="s">
        <v>532</v>
      </c>
      <c r="AY5" s="1774" t="s">
        <v>603</v>
      </c>
      <c r="AZ5" s="1786" t="s">
        <v>604</v>
      </c>
      <c r="BA5" s="1774" t="s">
        <v>560</v>
      </c>
      <c r="BB5" s="1783" t="s">
        <v>561</v>
      </c>
      <c r="BC5" s="1777" t="s">
        <v>184</v>
      </c>
      <c r="BD5" s="1774" t="s">
        <v>562</v>
      </c>
      <c r="BE5" s="1774" t="s">
        <v>248</v>
      </c>
      <c r="BF5" s="1774" t="s">
        <v>249</v>
      </c>
      <c r="BG5" s="1774" t="s">
        <v>250</v>
      </c>
      <c r="BH5" s="1774" t="s">
        <v>563</v>
      </c>
      <c r="BI5" s="1774" t="s">
        <v>251</v>
      </c>
      <c r="BJ5" s="1774" t="s">
        <v>564</v>
      </c>
      <c r="BK5" s="1774" t="s">
        <v>578</v>
      </c>
      <c r="BL5" s="1774" t="s">
        <v>565</v>
      </c>
      <c r="BM5" s="1774" t="s">
        <v>566</v>
      </c>
      <c r="BN5" s="1774" t="s">
        <v>591</v>
      </c>
      <c r="BO5" s="1774" t="s">
        <v>584</v>
      </c>
      <c r="BP5" s="1774" t="s">
        <v>795</v>
      </c>
      <c r="BQ5" s="1774" t="s">
        <v>798</v>
      </c>
      <c r="BR5" s="1774" t="s">
        <v>800</v>
      </c>
      <c r="BS5" s="1774" t="s">
        <v>585</v>
      </c>
      <c r="BT5" s="1774" t="s">
        <v>567</v>
      </c>
      <c r="BU5" s="1774" t="s">
        <v>530</v>
      </c>
      <c r="BV5" s="1771" t="s">
        <v>756</v>
      </c>
      <c r="BZ5" s="1253"/>
    </row>
    <row r="6" spans="1:78" ht="21.75" customHeight="1">
      <c r="A6" s="1543"/>
      <c r="B6" s="1231"/>
      <c r="C6" s="1808"/>
      <c r="D6" s="1775"/>
      <c r="E6" s="1775"/>
      <c r="F6" s="1810"/>
      <c r="G6" s="1775"/>
      <c r="H6" s="1775"/>
      <c r="I6" s="1775"/>
      <c r="J6" s="1775"/>
      <c r="K6" s="1775"/>
      <c r="L6" s="1775"/>
      <c r="M6" s="1775"/>
      <c r="N6" s="1775"/>
      <c r="O6" s="1805"/>
      <c r="P6" s="1775"/>
      <c r="Q6" s="1775"/>
      <c r="R6" s="1775"/>
      <c r="S6" s="1793"/>
      <c r="T6" s="1793"/>
      <c r="U6" s="1775"/>
      <c r="V6" s="1793"/>
      <c r="W6" s="1775"/>
      <c r="X6" s="1775"/>
      <c r="Y6" s="1796"/>
      <c r="Z6" s="1799"/>
      <c r="AA6" s="1802"/>
      <c r="AB6" s="1799"/>
      <c r="AC6" s="1799"/>
      <c r="AD6" s="1790"/>
      <c r="AE6" s="1790"/>
      <c r="AF6" s="1775"/>
      <c r="AG6" s="1775"/>
      <c r="AH6" s="1775"/>
      <c r="AI6" s="1775"/>
      <c r="AJ6" s="1775"/>
      <c r="AK6" s="1775"/>
      <c r="AL6" s="1775"/>
      <c r="AM6" s="1775"/>
      <c r="AN6" s="1775"/>
      <c r="AO6" s="1775"/>
      <c r="AP6" s="1775"/>
      <c r="AQ6" s="1775"/>
      <c r="AR6" s="1775"/>
      <c r="AS6" s="1775"/>
      <c r="AT6" s="1781"/>
      <c r="AU6" s="1775"/>
      <c r="AV6" s="1784"/>
      <c r="AW6" s="1778"/>
      <c r="AX6" s="1775"/>
      <c r="AY6" s="1775"/>
      <c r="AZ6" s="1787"/>
      <c r="BA6" s="1775"/>
      <c r="BB6" s="1784"/>
      <c r="BC6" s="1778"/>
      <c r="BD6" s="1775"/>
      <c r="BE6" s="1775"/>
      <c r="BF6" s="1775"/>
      <c r="BG6" s="1775"/>
      <c r="BH6" s="1775"/>
      <c r="BI6" s="1775"/>
      <c r="BJ6" s="1775"/>
      <c r="BK6" s="1775"/>
      <c r="BL6" s="1775"/>
      <c r="BM6" s="1775"/>
      <c r="BN6" s="1775"/>
      <c r="BO6" s="1775"/>
      <c r="BP6" s="1775"/>
      <c r="BQ6" s="1775"/>
      <c r="BR6" s="1775"/>
      <c r="BS6" s="1775"/>
      <c r="BT6" s="1775"/>
      <c r="BU6" s="1775"/>
      <c r="BV6" s="1772"/>
      <c r="BZ6" s="1253"/>
    </row>
    <row r="7" spans="1:78" ht="38.25" customHeight="1" thickBot="1">
      <c r="A7" s="1544"/>
      <c r="B7" s="1232"/>
      <c r="C7" s="1228" t="str">
        <f>Datos!A7</f>
        <v>COMPETENCIAS</v>
      </c>
      <c r="D7" s="1776"/>
      <c r="E7" s="1776"/>
      <c r="F7" s="1811"/>
      <c r="G7" s="1776"/>
      <c r="H7" s="1776"/>
      <c r="I7" s="1776"/>
      <c r="J7" s="1776"/>
      <c r="K7" s="1776"/>
      <c r="L7" s="1776"/>
      <c r="M7" s="1776"/>
      <c r="N7" s="1776"/>
      <c r="O7" s="1806"/>
      <c r="P7" s="1776"/>
      <c r="Q7" s="1776"/>
      <c r="R7" s="1776"/>
      <c r="S7" s="1794"/>
      <c r="T7" s="1794"/>
      <c r="U7" s="1776"/>
      <c r="V7" s="1794"/>
      <c r="W7" s="1776"/>
      <c r="X7" s="1776"/>
      <c r="Y7" s="1797"/>
      <c r="Z7" s="1800"/>
      <c r="AA7" s="1803"/>
      <c r="AB7" s="1800"/>
      <c r="AC7" s="1800"/>
      <c r="AD7" s="1791"/>
      <c r="AE7" s="1791"/>
      <c r="AF7" s="1776"/>
      <c r="AG7" s="1776"/>
      <c r="AH7" s="1776"/>
      <c r="AI7" s="1776"/>
      <c r="AJ7" s="1776"/>
      <c r="AK7" s="1776"/>
      <c r="AL7" s="1776"/>
      <c r="AM7" s="1776"/>
      <c r="AN7" s="1776"/>
      <c r="AO7" s="1776"/>
      <c r="AP7" s="1776"/>
      <c r="AQ7" s="1776"/>
      <c r="AR7" s="1776"/>
      <c r="AS7" s="1776"/>
      <c r="AT7" s="1782"/>
      <c r="AU7" s="1776"/>
      <c r="AV7" s="1785"/>
      <c r="AW7" s="1779"/>
      <c r="AX7" s="1776"/>
      <c r="AY7" s="1776"/>
      <c r="AZ7" s="1788"/>
      <c r="BA7" s="1776"/>
      <c r="BB7" s="1785"/>
      <c r="BC7" s="1779"/>
      <c r="BD7" s="1776"/>
      <c r="BE7" s="1776"/>
      <c r="BF7" s="1776"/>
      <c r="BG7" s="1776"/>
      <c r="BH7" s="1776"/>
      <c r="BI7" s="1776"/>
      <c r="BJ7" s="1776"/>
      <c r="BK7" s="1776"/>
      <c r="BL7" s="1776"/>
      <c r="BM7" s="1776"/>
      <c r="BN7" s="1776"/>
      <c r="BO7" s="1776"/>
      <c r="BP7" s="1776"/>
      <c r="BQ7" s="1776"/>
      <c r="BR7" s="1776"/>
      <c r="BS7" s="1776"/>
      <c r="BT7" s="1776"/>
      <c r="BU7" s="1776"/>
      <c r="BV7" s="1773"/>
      <c r="BZ7" s="1253"/>
    </row>
    <row r="8" spans="1:78" ht="15" thickTop="1">
      <c r="A8" s="1270"/>
      <c r="B8" s="1270"/>
      <c r="C8" s="1201" t="str">
        <f>Datos!A8</f>
        <v>Jurisdicción Civil ( 1 ):</v>
      </c>
      <c r="D8" s="1271"/>
      <c r="E8" s="1271"/>
      <c r="F8" s="1206"/>
      <c r="G8" s="1206"/>
      <c r="H8" s="1207"/>
      <c r="I8" s="1206"/>
      <c r="J8" s="1207"/>
      <c r="K8" s="1207"/>
      <c r="L8" s="1207"/>
      <c r="M8" s="1207"/>
      <c r="N8" s="1207"/>
      <c r="O8" s="1324"/>
      <c r="P8" s="1324"/>
      <c r="Q8" s="1207"/>
      <c r="R8" s="1207"/>
      <c r="S8" s="1254"/>
      <c r="T8" s="1254"/>
      <c r="U8" s="1207"/>
      <c r="V8" s="1254"/>
      <c r="W8" s="1237"/>
      <c r="X8" s="1237"/>
      <c r="Y8" s="1207"/>
      <c r="Z8" s="1211"/>
      <c r="AA8" s="1255"/>
      <c r="AB8" s="1206"/>
      <c r="AC8" s="1207"/>
      <c r="AD8" s="1207"/>
      <c r="AE8" s="1207"/>
      <c r="AF8" s="1206"/>
      <c r="AG8" s="1207"/>
      <c r="AH8" s="1207"/>
      <c r="AI8" s="1207"/>
      <c r="AJ8" s="1207"/>
      <c r="AK8" s="1207"/>
      <c r="AL8" s="1207"/>
      <c r="AM8" s="1207"/>
      <c r="AN8" s="1207"/>
      <c r="AO8" s="1207"/>
      <c r="AP8" s="1207"/>
      <c r="AQ8" s="1207"/>
      <c r="AR8" s="1207"/>
      <c r="AS8" s="1243"/>
      <c r="AT8" s="1206"/>
      <c r="AU8" s="1207"/>
      <c r="AV8" s="1208"/>
      <c r="AW8" s="1236"/>
      <c r="AX8" s="1216"/>
      <c r="AY8" s="1236"/>
      <c r="AZ8" s="1216"/>
      <c r="BA8" s="1207"/>
      <c r="BB8" s="1208"/>
      <c r="BC8" s="1206"/>
      <c r="BD8" s="1207"/>
      <c r="BE8" s="1209"/>
      <c r="BF8" s="1210"/>
      <c r="BG8" s="1211"/>
      <c r="BH8" s="1212"/>
      <c r="BI8" s="1211"/>
      <c r="BJ8" s="1213"/>
      <c r="BK8" s="1319"/>
      <c r="BL8" s="1213"/>
      <c r="BM8" s="1241"/>
      <c r="BN8" s="1325"/>
      <c r="BO8" s="1325"/>
      <c r="BP8" s="1213"/>
      <c r="BQ8" s="1213"/>
      <c r="BR8" s="1213"/>
      <c r="BS8" s="1213"/>
      <c r="BT8" s="1237"/>
      <c r="BU8" s="1256"/>
      <c r="BV8" s="1423"/>
    </row>
    <row r="9" spans="1:78" ht="14.25">
      <c r="A9" s="1275">
        <f>Datos!AO9</f>
        <v>0</v>
      </c>
      <c r="B9" s="1275" t="s">
        <v>247</v>
      </c>
      <c r="C9" s="1200" t="str">
        <f>Datos!A9</f>
        <v>Sección Civil del T.I</v>
      </c>
      <c r="D9" s="1276"/>
      <c r="E9" s="1226">
        <f>IF(ISNUMBER(Datos!AQ9),Datos!AQ9," - ")</f>
        <v>0</v>
      </c>
      <c r="F9" s="1214" t="str">
        <f>IF(ISNUMBER(AF9+AB9-I9-L9),AF9+AB9-I9-L9," - ")</f>
        <v xml:space="preserve"> - </v>
      </c>
      <c r="G9" s="1246" t="str">
        <f>IF(ISNUMBER(IF(J_V="SI",Datos!I9,Datos!I9+Datos!Y9)-IF(Monitorios="SI",Datos!CA9,0)),
                          IF(J_V="SI",Datos!I9,Datos!I9+Datos!Y9)-IF(Monitorios="SI",Datos!CA9,0),
                          " - ")</f>
        <v xml:space="preserve"> - </v>
      </c>
      <c r="H9" s="1215"/>
      <c r="I9" s="1214" t="str">
        <f>IF(ISNUMBER(Datos!DB9),Datos!DB9," - ")</f>
        <v xml:space="preserve"> - </v>
      </c>
      <c r="J9" s="1215" t="str">
        <f>IF(ISNUMBER(Datos!DC9),Datos!DC9," - ")</f>
        <v xml:space="preserve"> - </v>
      </c>
      <c r="K9" s="1247" t="str">
        <f>IF(ISNUMBER(Datos!DD9),Datos!DD9," - ")</f>
        <v xml:space="preserve"> - </v>
      </c>
      <c r="L9" s="1215">
        <f>IF(ISNUMBER(Datos!DF9),Datos!DF9,0)</f>
        <v>0</v>
      </c>
      <c r="M9" s="1215">
        <f>IF(ISNUMBER(Datos!DM9),Datos!DM9,0)</f>
        <v>0</v>
      </c>
      <c r="N9" s="1247" t="str">
        <f>IF(ISNUMBER(Datos!Z9),Datos!Z9," - ")</f>
        <v xml:space="preserve"> - </v>
      </c>
      <c r="O9" s="1247"/>
      <c r="P9" s="1247"/>
      <c r="Q9" s="1215">
        <f>IF(ISNUMBER(Datos!P9),Datos!P9,0)</f>
        <v>0</v>
      </c>
      <c r="R9" s="1215" t="str">
        <f>IF(ISNUMBER(Datos!DE9),Datos!DE9," - ")</f>
        <v xml:space="preserve"> - </v>
      </c>
      <c r="S9" s="1250"/>
      <c r="T9" s="1250"/>
      <c r="U9" s="1215" t="str">
        <f>IF(ISNUMBER(Datos!AS9/1),Datos!AS9/1," - ")</f>
        <v xml:space="preserve"> - </v>
      </c>
      <c r="V9" s="1260" t="str">
        <f>IF(ISNUMBER(U9/(Datos!BM9/factor_trimestre)),U9/(Datos!BM9/factor_trimestre)," - ")</f>
        <v xml:space="preserve"> - </v>
      </c>
      <c r="W9" s="1215" t="str">
        <f>IF(ISNUMBER(Datos!EO9),Datos!EO9," - ")</f>
        <v xml:space="preserve"> - </v>
      </c>
      <c r="X9" s="1415" t="e">
        <f>(W9/Datos!ER9)*factor_trimestre</f>
        <v>#VALUE!</v>
      </c>
      <c r="Y9" s="1349" t="str">
        <f>IF(ISNUMBER(Datos!CB9),Datos!CB9," - ")</f>
        <v xml:space="preserve"> - </v>
      </c>
      <c r="Z9" s="1214">
        <f>IF(ISNUMBER(Datos!BY9+Datos!BZ9*0.86),Datos!BY9+Datos!BZ9*0.86," - ")</f>
        <v>0</v>
      </c>
      <c r="AA9" s="1260">
        <f>IF(ISNUMBER((Z9*factor_trimestre)/DatosB!CN9),(Z9*factor_trimestre)/DatosB!CN9,"-")</f>
        <v>0</v>
      </c>
      <c r="AB9" s="1214" t="str">
        <f>IF(ISNUMBER(IF(J_V="SI",Datos!K9,Datos!K9+Datos!AA9)-IF(Monitorios="SI",Datos!CC9,0)),
                          IF(J_V="SI",Datos!K9,Datos!K9+Datos!AA9)-IF(Monitorios="SI",Datos!CC9,0),
                          " - ")</f>
        <v xml:space="preserve"> - </v>
      </c>
      <c r="AC9" s="1215" t="str">
        <f>IF(ISNUMBER(Datos!Q9),Datos!Q9," - ")</f>
        <v xml:space="preserve"> - </v>
      </c>
      <c r="AD9" s="1247" t="str">
        <f>IF(ISNUMBER(Datos!CC9),Datos!CC9," - ")</f>
        <v xml:space="preserve"> - </v>
      </c>
      <c r="AE9" s="1262" t="str">
        <f>IF(ISNUMBER(Datos!EM9),Datos!EM9," - ")</f>
        <v xml:space="preserve"> - </v>
      </c>
      <c r="AF9" s="1245" t="str">
        <f>IF(ISNUMBER(IF(J_V="SI",Datos!L9,Datos!L9+Datos!AB9)-IF(Monitorios="SI",Datos!CD9,0)),
                          IF(J_V="SI",Datos!L9,Datos!L9+Datos!AB9)-IF(Monitorios="SI",Datos!CD9,0),
                          " - ")</f>
        <v xml:space="preserve"> - </v>
      </c>
      <c r="AG9" s="1247"/>
      <c r="AH9" s="1247" t="str">
        <f>IF(ISNUMBER(Datos!AB9),Datos!AB9,"-")</f>
        <v>-</v>
      </c>
      <c r="AI9" s="1247" t="str">
        <f>IF(ISNUMBER(Datos!CD9),Datos!CD9,"-")</f>
        <v>-</v>
      </c>
      <c r="AJ9" s="1247" t="str">
        <f>IF(ISNUMBER(Datos!EN9),Datos!EN9," - ")</f>
        <v xml:space="preserve"> - </v>
      </c>
      <c r="AK9" s="1247"/>
      <c r="AL9" s="1258"/>
      <c r="AM9" s="1248" t="str">
        <f>IF(ISNUMBER(Datos!R9),Datos!R9," - ")</f>
        <v xml:space="preserve"> - </v>
      </c>
      <c r="AN9" s="1247"/>
      <c r="AO9" s="1247"/>
      <c r="AP9" s="1247"/>
      <c r="AQ9" s="1247"/>
      <c r="AR9" s="1247"/>
      <c r="AS9" s="1247" t="str">
        <f>IF(ISNUMBER(Datos!BV9),Datos!BV9," - ")</f>
        <v xml:space="preserve"> - </v>
      </c>
      <c r="AT9" s="1214" t="str">
        <f>IF(ISNUMBER(Datos!CK9),Datos!CK9," - ")</f>
        <v xml:space="preserve"> - </v>
      </c>
      <c r="AU9" s="1236" t="str">
        <f>IF(ISNUMBER(Datos!CL9),Datos!CL9," - ")</f>
        <v xml:space="preserve"> - </v>
      </c>
      <c r="AV9" s="1216" t="str">
        <f>IF(ISNUMBER(Datos!CM9),Datos!CM9," - ")</f>
        <v xml:space="preserve"> - </v>
      </c>
      <c r="AW9" s="1236" t="str">
        <f>IF(ISNUMBER(Datos!DV9),Datos!DV9," - ")</f>
        <v xml:space="preserve"> - </v>
      </c>
      <c r="AX9" s="1216" t="str">
        <f>IF(ISNUMBER(Datos!DW9),Datos!DW9," - ")</f>
        <v xml:space="preserve"> - </v>
      </c>
      <c r="AY9" s="1236" t="str">
        <f>IF(ISNUMBER(Datos!DX9),Datos!DX9," - ")</f>
        <v xml:space="preserve"> - </v>
      </c>
      <c r="AZ9" s="1216" t="str">
        <f>IF(ISNUMBER(Datos!DY9),Datos!DY9," - ")</f>
        <v xml:space="preserve"> - </v>
      </c>
      <c r="BA9" s="1236"/>
      <c r="BB9" s="1216"/>
      <c r="BC9" s="1214" t="str">
        <f>IF(ISNUMBER(Datos!M9),Datos!M9," - ")</f>
        <v xml:space="preserve"> - </v>
      </c>
      <c r="BD9" s="1218" t="str">
        <f>IF(ISNUMBER(Datos!N9),Datos!N9," - ")</f>
        <v xml:space="preserve"> - </v>
      </c>
      <c r="BE9" s="1218" t="str">
        <f>IF(ISNUMBER(Datos!BW9),Datos!BW9," - ")</f>
        <v xml:space="preserve"> - </v>
      </c>
      <c r="BF9" s="1217" t="str">
        <f>IF(ISNUMBER(Datos!BX9),Datos!BX9," - ")</f>
        <v xml:space="preserve"> - </v>
      </c>
      <c r="BG9" s="1223" t="str">
        <f>IF(ISNUMBER(IF(J_V="SI",Datos!K9/Datos!J9,(Datos!K9+Datos!AA9)/(Datos!J9+Datos!Z9))),IF(J_V="SI",Datos!K9/Datos!J9,(Datos!K9+Datos!AA9)/(Datos!J9+Datos!Z9))," - ")</f>
        <v xml:space="preserve"> - </v>
      </c>
      <c r="BH9" s="1226" t="str">
        <f>IF(ISNUMBER(((IF(J_V="SI",Datos!L9/Datos!K9,(Datos!L9+Datos!AB9)/(Datos!K9+Datos!AA9)))*11)/factor_trimestre),((IF(J_V="SI",Datos!L9/Datos!K9,(Datos!L9+Datos!AB9)/(Datos!K9+Datos!AA9)))*11)/factor_trimestre," - ")</f>
        <v xml:space="preserve"> - </v>
      </c>
      <c r="BI9" s="1223"/>
      <c r="BJ9" s="1219" t="str">
        <f>IF(ISNUMBER(Datos!CI9/Datos!CJ9),Datos!CI9/Datos!CJ9," - ")</f>
        <v xml:space="preserve"> - </v>
      </c>
      <c r="BK9" s="1252" t="str">
        <f>IF(ISNUMBER(Datos!CJ9),Datos!CJ9," - ")</f>
        <v xml:space="preserve"> - </v>
      </c>
      <c r="BL9" s="1219" t="str">
        <f>IF(ISNUMBER((J9-AB9+L9)/(F9)),(J9-AB9+L9)/(F9)," - ")</f>
        <v xml:space="preserve"> - </v>
      </c>
      <c r="BM9" s="1343" t="str">
        <f>IF(ISNUMBER((Datos!P9-Datos!Q9+Datos!DE9)/(Datos!R9-Datos!P9+Datos!Q9-Datos!DE9)),(Datos!P9-Datos!Q9+Datos!DE9)/(Datos!R9-Datos!P9+Datos!Q9-Datos!DE9)," - ")</f>
        <v xml:space="preserve"> - </v>
      </c>
      <c r="BN9" s="1340"/>
      <c r="BO9" s="1340"/>
      <c r="BP9" s="1229" t="str">
        <f>IF(ISNUMBER(Datos!EV9),Datos!EV9," - ")</f>
        <v xml:space="preserve"> - </v>
      </c>
      <c r="BQ9" s="1229" t="str">
        <f>IF(ISNUMBER(Datos!CW9),Datos!CW9," - ")</f>
        <v xml:space="preserve"> - </v>
      </c>
      <c r="BR9" s="1229"/>
      <c r="BS9" s="1229"/>
      <c r="BT9" s="1229">
        <f>Datos!CX9</f>
        <v>0</v>
      </c>
      <c r="BU9" s="1259">
        <f>Datos!DU9</f>
        <v>0</v>
      </c>
      <c r="BV9" s="1424">
        <f>Datos!ER9/factor_trimestre</f>
        <v>327.27272727272731</v>
      </c>
      <c r="BZ9" s="1421">
        <f>Datos!EZ9</f>
        <v>0</v>
      </c>
    </row>
    <row r="10" spans="1:78" ht="14.25">
      <c r="A10" s="1275">
        <f>Datos!AO10</f>
        <v>1</v>
      </c>
      <c r="B10" s="1280" t="s">
        <v>247</v>
      </c>
      <c r="C10" s="1193" t="str">
        <f>Datos!A10</f>
        <v>Sección De Violencia sobre la Mujer del TI</v>
      </c>
      <c r="D10" s="1281"/>
      <c r="E10" s="1226">
        <f>IF(ISNUMBER(Datos!AQ10),Datos!AQ10," - ")</f>
        <v>0</v>
      </c>
      <c r="F10" s="1214">
        <f>IF(ISNUMBER(Datos!L10+Datos!K10-Datos!J10),Datos!L10+Datos!K10-Datos!J10," - ")</f>
        <v>0</v>
      </c>
      <c r="G10" s="1246">
        <f>IF(ISNUMBER(Datos!I10),Datos!I10," - ")</f>
        <v>0</v>
      </c>
      <c r="H10" s="1215"/>
      <c r="I10" s="1214" t="str">
        <f>IF(ISNUMBER(Datos!DB10),Datos!DB10," - ")</f>
        <v xml:space="preserve"> - </v>
      </c>
      <c r="J10" s="1215" t="str">
        <f>IF(ISNUMBER(Datos!DC10),Datos!DC10," - ")</f>
        <v xml:space="preserve"> - </v>
      </c>
      <c r="K10" s="1247" t="str">
        <f>IF(ISNUMBER(Datos!DD10),Datos!DD10," - ")</f>
        <v xml:space="preserve"> - </v>
      </c>
      <c r="L10" s="1215">
        <f>IF(ISNUMBER(Datos!DF10),Datos!DF10,0)</f>
        <v>0</v>
      </c>
      <c r="M10" s="1215">
        <f>IF(ISNUMBER(Datos!DM10),Datos!DM10,0)</f>
        <v>0</v>
      </c>
      <c r="N10" s="1247"/>
      <c r="O10" s="1247"/>
      <c r="P10" s="1247"/>
      <c r="Q10" s="1215">
        <f>IF(ISNUMBER(Datos!P10),Datos!P10,0)</f>
        <v>0</v>
      </c>
      <c r="R10" s="1215" t="str">
        <f>IF(ISNUMBER(Datos!DE10),Datos!DE10," - ")</f>
        <v xml:space="preserve"> - </v>
      </c>
      <c r="S10" s="1250"/>
      <c r="T10" s="1250"/>
      <c r="U10" s="1215" t="str">
        <f>IF(ISNUMBER(Datos!AS10/1),Datos!AS10/1," - ")</f>
        <v xml:space="preserve"> - </v>
      </c>
      <c r="V10" s="1260" t="str">
        <f>IF(ISNUMBER(U10/(Datos!BM10/factor_trimestre)),U10/(Datos!BM10/factor_trimestre)," - ")</f>
        <v xml:space="preserve"> - </v>
      </c>
      <c r="W10" s="1215" t="str">
        <f>IF(ISNUMBER(Datos!EO10),Datos!EO10," - ")</f>
        <v xml:space="preserve"> - </v>
      </c>
      <c r="X10" s="1415" t="e">
        <f>(W10/Datos!ER10)*factor_trimestre</f>
        <v>#VALUE!</v>
      </c>
      <c r="Y10" s="1349"/>
      <c r="Z10" s="1214" t="str">
        <f>IF(ISNUMBER(Datos!BY10),Datos!BY10," - ")</f>
        <v xml:space="preserve"> - </v>
      </c>
      <c r="AA10" s="1260" t="str">
        <f>IF(ISNUMBER((Z10*factor_trimestre)/DatosB!CN10),(Z10*factor_trimestre)/DatosB!CN10,"-")</f>
        <v>-</v>
      </c>
      <c r="AB10" s="1214">
        <f>IF(ISNUMBER(Datos!K10),Datos!K10," - ")</f>
        <v>0</v>
      </c>
      <c r="AC10" s="1215">
        <f>IF(ISNUMBER(Datos!Q10),Datos!Q10," - ")</f>
        <v>0</v>
      </c>
      <c r="AD10" s="1247"/>
      <c r="AE10" s="1262"/>
      <c r="AF10" s="1245">
        <f>IF(ISNUMBER(Datos!L10),Datos!L10,"-")</f>
        <v>0</v>
      </c>
      <c r="AG10" s="1247"/>
      <c r="AH10" s="1247"/>
      <c r="AI10" s="1247"/>
      <c r="AJ10" s="1247"/>
      <c r="AK10" s="1247"/>
      <c r="AL10" s="1258"/>
      <c r="AM10" s="1248">
        <f>IF(ISNUMBER(Datos!R10),Datos!R10," - ")</f>
        <v>0</v>
      </c>
      <c r="AN10" s="1247"/>
      <c r="AO10" s="1247"/>
      <c r="AP10" s="1247"/>
      <c r="AQ10" s="1247"/>
      <c r="AR10" s="1247"/>
      <c r="AS10" s="1247" t="str">
        <f>IF(ISNUMBER(Datos!BV10),Datos!BV10," - ")</f>
        <v xml:space="preserve"> - </v>
      </c>
      <c r="AT10" s="1214" t="str">
        <f>IF(ISNUMBER(Datos!CK10),Datos!CK10," - ")</f>
        <v xml:space="preserve"> - </v>
      </c>
      <c r="AU10" s="1236" t="str">
        <f>IF(ISNUMBER(Datos!CL10),Datos!CL10," - ")</f>
        <v xml:space="preserve"> - </v>
      </c>
      <c r="AV10" s="1216" t="str">
        <f>IF(ISNUMBER(Datos!CM10),Datos!CM10," - ")</f>
        <v xml:space="preserve"> - </v>
      </c>
      <c r="AW10" s="1236" t="str">
        <f>IF(ISNUMBER(Datos!DV10),Datos!DV10," - ")</f>
        <v xml:space="preserve"> - </v>
      </c>
      <c r="AX10" s="1216" t="str">
        <f>IF(ISNUMBER(Datos!DW10),Datos!DW10," - ")</f>
        <v xml:space="preserve"> - </v>
      </c>
      <c r="AY10" s="1236" t="str">
        <f>IF(ISNUMBER(Datos!DX10),Datos!DX10," - ")</f>
        <v xml:space="preserve"> - </v>
      </c>
      <c r="AZ10" s="1216" t="str">
        <f>IF(ISNUMBER(Datos!DY10),Datos!DY10," - ")</f>
        <v xml:space="preserve"> - </v>
      </c>
      <c r="BA10" s="1236"/>
      <c r="BB10" s="1216"/>
      <c r="BC10" s="1214">
        <f>IF(ISNUMBER(Datos!M10),Datos!M10," - ")</f>
        <v>0</v>
      </c>
      <c r="BD10" s="1218">
        <f>IF(ISNUMBER(Datos!N10),Datos!N10," - ")</f>
        <v>0</v>
      </c>
      <c r="BE10" s="1218" t="str">
        <f>IF(ISNUMBER(Datos!BW10),Datos!BW10," - ")</f>
        <v xml:space="preserve"> - </v>
      </c>
      <c r="BF10" s="1217" t="str">
        <f>IF(ISNUMBER(Datos!BX10),Datos!BX10," - ")</f>
        <v xml:space="preserve"> - </v>
      </c>
      <c r="BG10" s="1223" t="str">
        <f>IF(ISNUMBER(Datos!K10/Datos!J10),Datos!K10/Datos!J10," - ")</f>
        <v xml:space="preserve"> - </v>
      </c>
      <c r="BH10" s="1226" t="str">
        <f>IF(ISNUMBER(((Datos!L10/Datos!K10)*11)/factor_trimestre),((Datos!L10/Datos!K10)*11)/factor_trimestre," - ")</f>
        <v xml:space="preserve"> - </v>
      </c>
      <c r="BI10" s="1223"/>
      <c r="BJ10" s="1219" t="str">
        <f>IF(ISNUMBER(Datos!CI10/Datos!CJ10),Datos!CI10/Datos!CJ10," - ")</f>
        <v xml:space="preserve"> - </v>
      </c>
      <c r="BK10" s="1252" t="str">
        <f>IF(ISNUMBER(Datos!CJ10),Datos!CJ10," - ")</f>
        <v xml:space="preserve"> - </v>
      </c>
      <c r="BL10" s="1219" t="str">
        <f>IF(ISNUMBER((I10-AB10+L10)/(F10)),(I10-AB10+L10)/(F10)," - ")</f>
        <v xml:space="preserve"> - </v>
      </c>
      <c r="BM10" s="1343" t="str">
        <f>IF(ISNUMBER((Datos!P10-Datos!Q10+Datos!DE10)/(Datos!R10-Datos!P10+Datos!Q10-Datos!DE10)),(Datos!P10-Datos!Q10+Datos!DE10)/(Datos!R10-Datos!P10+Datos!Q10-Datos!DE10)," - ")</f>
        <v xml:space="preserve"> - </v>
      </c>
      <c r="BN10" s="1340"/>
      <c r="BO10" s="1340"/>
      <c r="BP10" s="1229" t="str">
        <f>IF(ISNUMBER(Datos!EV10),Datos!EV10," - ")</f>
        <v xml:space="preserve"> - </v>
      </c>
      <c r="BQ10" s="1229" t="str">
        <f>IF(ISNUMBER(Datos!CW10),Datos!CW10," - ")</f>
        <v xml:space="preserve"> - </v>
      </c>
      <c r="BR10" s="1229"/>
      <c r="BS10" s="1229"/>
      <c r="BT10" s="1229">
        <f>Datos!CX10</f>
        <v>0</v>
      </c>
      <c r="BU10" s="1259">
        <f>Datos!DU10</f>
        <v>0</v>
      </c>
      <c r="BV10" s="1424">
        <f>Datos!ER10/factor_trimestre</f>
        <v>436.36363636363637</v>
      </c>
      <c r="BZ10" s="1421">
        <f>Datos!EZ10</f>
        <v>0</v>
      </c>
    </row>
    <row r="11" spans="1:78" ht="14.25">
      <c r="A11" s="1275">
        <f>Datos!AO11</f>
        <v>0</v>
      </c>
      <c r="B11" s="1280" t="s">
        <v>247</v>
      </c>
      <c r="C11" s="1193" t="str">
        <f>Datos!A11</f>
        <v xml:space="preserve">Sección de Familia, infancia e incapacidad del TI                           </v>
      </c>
      <c r="D11" s="1281"/>
      <c r="E11" s="1226">
        <f>IF(ISNUMBER(Datos!AQ11),Datos!AQ11," - ")</f>
        <v>0</v>
      </c>
      <c r="F11" s="1214" t="str">
        <f>IF(ISNUMBER(AF11+AB11-I11-L11),AF11+AB11-I11-L11," - ")</f>
        <v xml:space="preserve"> - </v>
      </c>
      <c r="G11" s="1246" t="str">
        <f>IF(ISNUMBER(IF(J_V="SI",Datos!I11,Datos!I11+Datos!Y11)-IF(Monitorios="SI",Datos!CA11,0)),
                          IF(J_V="SI",Datos!I11,Datos!I11+Datos!Y11)-IF(Monitorios="SI",Datos!CA11,0),
                          " - ")</f>
        <v xml:space="preserve"> - </v>
      </c>
      <c r="H11" s="1215"/>
      <c r="I11" s="1214" t="str">
        <f>IF(ISNUMBER(Datos!DC11),Datos!DC11," - ")</f>
        <v xml:space="preserve"> - </v>
      </c>
      <c r="J11" s="1215" t="str">
        <f>IF(ISNUMBER(Datos!DB11),Datos!DB11," - ")</f>
        <v xml:space="preserve"> - </v>
      </c>
      <c r="K11" s="1247" t="str">
        <f>IF(ISNUMBER(Datos!DD11),Datos!DD11," - ")</f>
        <v xml:space="preserve"> - </v>
      </c>
      <c r="L11" s="1215">
        <f>IF(ISNUMBER(Datos!DF11),Datos!DF11,0)</f>
        <v>0</v>
      </c>
      <c r="M11" s="1215">
        <f>IF(ISNUMBER(Datos!DM11),Datos!DM11,0)</f>
        <v>0</v>
      </c>
      <c r="N11" s="1247" t="str">
        <f>IF(ISNUMBER(Datos!Z11),Datos!Z11," - ")</f>
        <v xml:space="preserve"> - </v>
      </c>
      <c r="O11" s="1247"/>
      <c r="P11" s="1247"/>
      <c r="Q11" s="1215">
        <f>IF(ISNUMBER(Datos!P11),Datos!P11,0)</f>
        <v>0</v>
      </c>
      <c r="R11" s="1215" t="str">
        <f>IF(ISNUMBER(Datos!DE11),Datos!DE11," - ")</f>
        <v xml:space="preserve"> - </v>
      </c>
      <c r="S11" s="1250"/>
      <c r="T11" s="1250"/>
      <c r="U11" s="1215" t="str">
        <f>IF(ISNUMBER(Datos!AS11/1),Datos!AS11/1," - ")</f>
        <v xml:space="preserve"> - </v>
      </c>
      <c r="V11" s="1260" t="str">
        <f>IF(ISNUMBER(U11/(Datos!BM11/factor_trimestre)),U11/(Datos!BM11/factor_trimestre)," - ")</f>
        <v xml:space="preserve"> - </v>
      </c>
      <c r="W11" s="1215" t="str">
        <f>IF(ISNUMBER(Datos!EO11),Datos!EO11," - ")</f>
        <v xml:space="preserve"> - </v>
      </c>
      <c r="X11" s="1415" t="e">
        <f>(W11/Datos!ER11)*factor_trimestre</f>
        <v>#VALUE!</v>
      </c>
      <c r="Y11" s="1349"/>
      <c r="Z11" s="1214">
        <f>IF(ISNUMBER(Datos!BY11+Datos!BZ11),Datos!BY11+Datos!BZ11," - ")</f>
        <v>0</v>
      </c>
      <c r="AA11" s="1260">
        <f>IF(ISNUMBER((Z11*factor_trimestre)/DatosB!CN11),(Z11*factor_trimestre)/DatosB!CN11,"-")</f>
        <v>0</v>
      </c>
      <c r="AB11" s="1214" t="str">
        <f>IF(ISNUMBER(IF(J_V="SI",Datos!K11,Datos!K11+Datos!AA11)-IF(Monitorios="SI",Datos!CC11,0)),
                          IF(J_V="SI",Datos!K11,Datos!K11+Datos!AA11)-IF(Monitorios="SI",Datos!CC11,0),
                          " - ")</f>
        <v xml:space="preserve"> - </v>
      </c>
      <c r="AC11" s="1215" t="str">
        <f>IF(ISNUMBER(Datos!Q11),Datos!Q11," - ")</f>
        <v xml:space="preserve"> - </v>
      </c>
      <c r="AD11" s="1247"/>
      <c r="AE11" s="1262"/>
      <c r="AF11" s="1245" t="str">
        <f>IF(ISNUMBER(IF(J_V="SI",Datos!L11,Datos!L11+Datos!AB11)-IF(Monitorios="SI",Datos!CD11,0)),
                          IF(J_V="SI",Datos!L11,Datos!L11+Datos!AB11)-IF(Monitorios="SI",Datos!CD11,0),
                          " - ")</f>
        <v xml:space="preserve"> - </v>
      </c>
      <c r="AG11" s="1247"/>
      <c r="AH11" s="1247" t="str">
        <f>IF(ISNUMBER(Datos!AB11),Datos!AB11,"-")</f>
        <v>-</v>
      </c>
      <c r="AI11" s="1247"/>
      <c r="AJ11" s="1247"/>
      <c r="AK11" s="1247"/>
      <c r="AL11" s="1258"/>
      <c r="AM11" s="1248" t="str">
        <f>IF(ISNUMBER(Datos!R11),Datos!R11," - ")</f>
        <v xml:space="preserve"> - </v>
      </c>
      <c r="AN11" s="1247"/>
      <c r="AO11" s="1247"/>
      <c r="AP11" s="1247"/>
      <c r="AQ11" s="1247"/>
      <c r="AR11" s="1247"/>
      <c r="AS11" s="1247" t="str">
        <f>IF(ISNUMBER(Datos!BV11),Datos!BV11," - ")</f>
        <v xml:space="preserve"> - </v>
      </c>
      <c r="AT11" s="1214" t="str">
        <f>IF(ISNUMBER(Datos!CK11),Datos!CK11," - ")</f>
        <v xml:space="preserve"> - </v>
      </c>
      <c r="AU11" s="1236" t="str">
        <f>IF(ISNUMBER(Datos!CL11),Datos!CL11," - ")</f>
        <v xml:space="preserve"> - </v>
      </c>
      <c r="AV11" s="1216" t="str">
        <f>IF(ISNUMBER(Datos!CM11),Datos!CM11," - ")</f>
        <v xml:space="preserve"> - </v>
      </c>
      <c r="AW11" s="1236" t="str">
        <f>IF(ISNUMBER(Datos!DV11),Datos!DV11," - ")</f>
        <v xml:space="preserve"> - </v>
      </c>
      <c r="AX11" s="1216" t="str">
        <f>IF(ISNUMBER(Datos!DW11),Datos!DW11," - ")</f>
        <v xml:space="preserve"> - </v>
      </c>
      <c r="AY11" s="1236" t="str">
        <f>IF(ISNUMBER(Datos!DX11),Datos!DX11," - ")</f>
        <v xml:space="preserve"> - </v>
      </c>
      <c r="AZ11" s="1216" t="str">
        <f>IF(ISNUMBER(Datos!DY11),Datos!DY11," - ")</f>
        <v xml:space="preserve"> - </v>
      </c>
      <c r="BA11" s="1236"/>
      <c r="BB11" s="1216"/>
      <c r="BC11" s="1214" t="str">
        <f>IF(ISNUMBER(Datos!M11),Datos!M11," - ")</f>
        <v xml:space="preserve"> - </v>
      </c>
      <c r="BD11" s="1218" t="str">
        <f>IF(ISNUMBER(Datos!N11),Datos!N11," - ")</f>
        <v xml:space="preserve"> - </v>
      </c>
      <c r="BE11" s="1218" t="str">
        <f>IF(ISNUMBER(Datos!BW11),Datos!BW11," - ")</f>
        <v xml:space="preserve"> - </v>
      </c>
      <c r="BF11" s="1217" t="str">
        <f>IF(ISNUMBER(Datos!BX11),Datos!BX11," - ")</f>
        <v xml:space="preserve"> - </v>
      </c>
      <c r="BG11" s="1223" t="str">
        <f>IF(ISNUMBER(IF(J_V="SI",Datos!K11/Datos!J11,(Datos!K11+Datos!AA11)/(Datos!J11+Datos!Z11))),IF(J_V="SI",Datos!K11/Datos!J11,(Datos!K11+Datos!AA11)/(Datos!J11+Datos!Z11))," - ")</f>
        <v xml:space="preserve"> - </v>
      </c>
      <c r="BH11" s="1226" t="str">
        <f>IF(ISNUMBER(((IF(J_V="SI",Datos!L11/Datos!K11,(Datos!L11+Datos!AB11)/(Datos!K11+Datos!AA11)))*11)/factor_trimestre),((IF(J_V="SI",Datos!L11/Datos!K11,(Datos!L11+Datos!AB11)/(Datos!K11+Datos!AA11)))*11)/factor_trimestre," - ")</f>
        <v xml:space="preserve"> - </v>
      </c>
      <c r="BI11" s="1223"/>
      <c r="BJ11" s="1219" t="str">
        <f>IF(ISNUMBER(Datos!CI11/Datos!CJ11),Datos!CI11/Datos!CJ11," - ")</f>
        <v xml:space="preserve"> - </v>
      </c>
      <c r="BK11" s="1252" t="str">
        <f>IF(ISNUMBER(Datos!CJ11),Datos!CJ11," - ")</f>
        <v xml:space="preserve"> - </v>
      </c>
      <c r="BL11" s="1219" t="str">
        <f>IF(ISNUMBER((I11-AB11+L11)/(F11)),(I11-AB11+L11)/(F11)," - ")</f>
        <v xml:space="preserve"> - </v>
      </c>
      <c r="BM11" s="1343" t="str">
        <f>IF(ISNUMBER((Datos!P11-Datos!Q11+Datos!DE11)/(Datos!R11-Datos!P11+Datos!Q11-Datos!DE11)),(Datos!P11-Datos!Q11+Datos!DE11)/(Datos!R11-Datos!P11+Datos!Q11-Datos!DE11)," - ")</f>
        <v xml:space="preserve"> - </v>
      </c>
      <c r="BN11" s="1340"/>
      <c r="BO11" s="1340"/>
      <c r="BP11" s="1229" t="str">
        <f>IF(ISNUMBER(Datos!EV11),Datos!EV11," - ")</f>
        <v xml:space="preserve"> - </v>
      </c>
      <c r="BQ11" s="1229" t="str">
        <f>IF(ISNUMBER(Datos!CW11),Datos!CW11," - ")</f>
        <v xml:space="preserve"> - </v>
      </c>
      <c r="BR11" s="1229"/>
      <c r="BS11" s="1229"/>
      <c r="BT11" s="1229">
        <f>Datos!CX11</f>
        <v>0</v>
      </c>
      <c r="BU11" s="1259">
        <f>Datos!DU11</f>
        <v>0</v>
      </c>
      <c r="BV11" s="1424">
        <f>Datos!ER11/factor_trimestre</f>
        <v>360.81818181818181</v>
      </c>
      <c r="BZ11" s="1421">
        <f>Datos!EZ11</f>
        <v>0</v>
      </c>
    </row>
    <row r="12" spans="1:78" ht="15" thickBot="1">
      <c r="A12" s="1275">
        <f>Datos!AO12</f>
        <v>3</v>
      </c>
      <c r="B12" s="1280" t="s">
        <v>247</v>
      </c>
      <c r="C12" s="1193" t="str">
        <f>Datos!A12</f>
        <v xml:space="preserve">Sección Civil y de Inst. TI                      </v>
      </c>
      <c r="D12" s="1281"/>
      <c r="E12" s="1226">
        <f>IF(ISNUMBER(Datos!AQ12),Datos!AQ12," - ")</f>
        <v>3</v>
      </c>
      <c r="F12" s="1214" t="str">
        <f>IF(ISNUMBER(AF12+AB12-I12-L12),AF12+AB12-I12-L12," - ")</f>
        <v xml:space="preserve"> - </v>
      </c>
      <c r="G12" s="1246" t="str">
        <f>IF(ISNUMBER(IF(J_V="SI",Datos!I12,Datos!I12+Datos!Y12)-IF(Monitorios="SI",Datos!CA12,0)),
                          IF(J_V="SI",Datos!I12,Datos!I12+Datos!Y12)-IF(Monitorios="SI",Datos!CA12,0),
                          " - ")</f>
        <v xml:space="preserve"> - </v>
      </c>
      <c r="H12" s="1215"/>
      <c r="I12" s="1214" t="str">
        <f>IF(ISNUMBER(Datos!DC12),Datos!DC12," - ")</f>
        <v xml:space="preserve"> - </v>
      </c>
      <c r="J12" s="1215" t="str">
        <f>IF(ISNUMBER(Datos!DB12),Datos!DB12," - ")</f>
        <v xml:space="preserve"> - </v>
      </c>
      <c r="K12" s="1247" t="str">
        <f>IF(ISNUMBER(Datos!DD12),Datos!DD12," - ")</f>
        <v xml:space="preserve"> - </v>
      </c>
      <c r="L12" s="1215">
        <f>IF(ISNUMBER(Datos!DF12),Datos!DF12,0)</f>
        <v>0</v>
      </c>
      <c r="M12" s="1215">
        <f>IF(ISNUMBER(Datos!DM12),Datos!DM12,0)</f>
        <v>0</v>
      </c>
      <c r="N12" s="1247">
        <f>IF(ISNUMBER(Datos!Z12),Datos!Z12," - ")</f>
        <v>25</v>
      </c>
      <c r="O12" s="1247"/>
      <c r="P12" s="1247"/>
      <c r="Q12" s="1215">
        <f>IF(ISNUMBER(Datos!P12),Datos!P12,0)</f>
        <v>230</v>
      </c>
      <c r="R12" s="1215" t="str">
        <f>IF(ISNUMBER(Datos!DE12),Datos!DE12," - ")</f>
        <v xml:space="preserve"> - </v>
      </c>
      <c r="S12" s="1250"/>
      <c r="T12" s="1250"/>
      <c r="U12" s="1215" t="str">
        <f>IF(ISNUMBER(Datos!AS12/1),Datos!AS12/1," - ")</f>
        <v xml:space="preserve"> - </v>
      </c>
      <c r="V12" s="1260" t="str">
        <f>IF(ISNUMBER(U12/(Datos!BM12/factor_trimestre)),U12/(Datos!BM12/factor_trimestre)," - ")</f>
        <v xml:space="preserve"> - </v>
      </c>
      <c r="W12" s="1215" t="str">
        <f>IF(ISNUMBER(Datos!EO12),Datos!EO12," - ")</f>
        <v xml:space="preserve"> - </v>
      </c>
      <c r="X12" s="1415" t="e">
        <f>(W12/Datos!ER12)*factor_trimestre</f>
        <v>#VALUE!</v>
      </c>
      <c r="Y12" s="1349" t="str">
        <f>IF(ISNUMBER(Datos!CB12),Datos!CB12," - ")</f>
        <v xml:space="preserve"> - </v>
      </c>
      <c r="Z12" s="1214" t="str">
        <f>IF(ISNUMBER(Datos!BY12),Datos!BY12," - ")</f>
        <v xml:space="preserve"> - </v>
      </c>
      <c r="AA12" s="1260" t="str">
        <f>IF(ISNUMBER((Z12*factor_trimestre)/DatosB!CN12),(Z12*factor_trimestre)/DatosB!CN12,"-")</f>
        <v>-</v>
      </c>
      <c r="AB12" s="1214" t="str">
        <f>IF(ISNUMBER(IF(J_V="SI",Datos!K12,Datos!K12+Datos!AA12)-IF(Monitorios="SI",Datos!CC12,0)),
                          IF(J_V="SI",Datos!K12,Datos!K12+Datos!AA12)-IF(Monitorios="SI",Datos!CC12,0),
                          " - ")</f>
        <v xml:space="preserve"> - </v>
      </c>
      <c r="AC12" s="1215">
        <f>IF(ISNUMBER(Datos!Q12),Datos!Q12," - ")</f>
        <v>279</v>
      </c>
      <c r="AD12" s="1247" t="str">
        <f>IF(ISNUMBER(Datos!CC12),Datos!CC12," - ")</f>
        <v xml:space="preserve"> - </v>
      </c>
      <c r="AE12" s="1262" t="str">
        <f>IF(ISNUMBER(Datos!EM12),Datos!EM12," - ")</f>
        <v xml:space="preserve"> - </v>
      </c>
      <c r="AF12" s="1245" t="str">
        <f>IF(ISNUMBER(IF(J_V="SI",Datos!L12,Datos!L12+Datos!AB12)-IF(Monitorios="SI",Datos!CD12,0)),
                          IF(J_V="SI",Datos!L12,Datos!L12+Datos!AB12)-IF(Monitorios="SI",Datos!CD12,0),
                          " - ")</f>
        <v xml:space="preserve"> - </v>
      </c>
      <c r="AG12" s="1247"/>
      <c r="AH12" s="1247">
        <f>IF(ISNUMBER(Datos!AB12),Datos!AB12,"-")</f>
        <v>24</v>
      </c>
      <c r="AI12" s="1247" t="str">
        <f>IF(ISNUMBER(Datos!CD12),Datos!CD12,"-")</f>
        <v>-</v>
      </c>
      <c r="AJ12" s="1247" t="str">
        <f>IF(ISNUMBER(Datos!EN12),Datos!EN12," - ")</f>
        <v xml:space="preserve"> - </v>
      </c>
      <c r="AK12" s="1247"/>
      <c r="AL12" s="1258"/>
      <c r="AM12" s="1248">
        <f>IF(ISNUMBER(Datos!R12),Datos!R12," - ")</f>
        <v>2852</v>
      </c>
      <c r="AN12" s="1247"/>
      <c r="AO12" s="1247"/>
      <c r="AP12" s="1247"/>
      <c r="AQ12" s="1247"/>
      <c r="AR12" s="1247"/>
      <c r="AS12" s="1247" t="str">
        <f>IF(ISNUMBER(Datos!BV12),Datos!BV12," - ")</f>
        <v xml:space="preserve"> - </v>
      </c>
      <c r="AT12" s="1214" t="str">
        <f>IF(ISNUMBER(Datos!CK12),Datos!CK12," - ")</f>
        <v xml:space="preserve"> - </v>
      </c>
      <c r="AU12" s="1236" t="str">
        <f>IF(ISNUMBER(Datos!CL12),Datos!CL12," - ")</f>
        <v xml:space="preserve"> - </v>
      </c>
      <c r="AV12" s="1216" t="str">
        <f>IF(ISNUMBER(Datos!CM12),Datos!CM12," - ")</f>
        <v xml:space="preserve"> - </v>
      </c>
      <c r="AW12" s="1236" t="str">
        <f>IF(ISNUMBER(Datos!DV12),Datos!DV12," - ")</f>
        <v xml:space="preserve"> - </v>
      </c>
      <c r="AX12" s="1216" t="str">
        <f>IF(ISNUMBER(Datos!DW12),Datos!DW12," - ")</f>
        <v xml:space="preserve"> - </v>
      </c>
      <c r="AY12" s="1236" t="str">
        <f>IF(ISNUMBER(Datos!DX12),Datos!DX12," - ")</f>
        <v xml:space="preserve"> - </v>
      </c>
      <c r="AZ12" s="1216" t="str">
        <f>IF(ISNUMBER(Datos!DY12),Datos!DY12," - ")</f>
        <v xml:space="preserve"> - </v>
      </c>
      <c r="BA12" s="1236"/>
      <c r="BB12" s="1216"/>
      <c r="BC12" s="1214">
        <f>IF(ISNUMBER(Datos!M12),Datos!M12," - ")</f>
        <v>243</v>
      </c>
      <c r="BD12" s="1218">
        <f>IF(ISNUMBER(Datos!N12),Datos!N12," - ")</f>
        <v>200</v>
      </c>
      <c r="BE12" s="1218" t="str">
        <f>IF(ISNUMBER(Datos!BW12),Datos!BW12," - ")</f>
        <v xml:space="preserve"> - </v>
      </c>
      <c r="BF12" s="1217" t="str">
        <f>IF(ISNUMBER(Datos!BX12),Datos!BX12," - ")</f>
        <v xml:space="preserve"> - </v>
      </c>
      <c r="BG12" s="1223">
        <f>IF(ISNUMBER(IF(J_V="SI",Datos!K12/Datos!J12,(Datos!K12+Datos!AA12)/(Datos!J12+Datos!Z12))),IF(J_V="SI",Datos!K12/Datos!J12,(Datos!K12+Datos!AA12)/(Datos!J12+Datos!Z12))," - ")</f>
        <v>1.0292682926829269</v>
      </c>
      <c r="BH12" s="1226">
        <f>IF(ISNUMBER(((IF(J_V="SI",Datos!L12/Datos!K12,(Datos!L12+Datos!AB12)/(Datos!K12+Datos!AA12)))*11)/factor_trimestre),((IF(J_V="SI",Datos!L12/Datos!K12,(Datos!L12+Datos!AB12)/(Datos!K12+Datos!AA12)))*11)/factor_trimestre," - ")</f>
        <v>7.8815165876777247</v>
      </c>
      <c r="BI12" s="1223"/>
      <c r="BJ12" s="1219" t="str">
        <f>IF(ISNUMBER(Datos!CI12/Datos!CJ12),Datos!CI12/Datos!CJ12," - ")</f>
        <v xml:space="preserve"> - </v>
      </c>
      <c r="BK12" s="1252" t="str">
        <f>IF(ISNUMBER(Datos!CJ12),Datos!CJ12," - ")</f>
        <v xml:space="preserve"> - </v>
      </c>
      <c r="BL12" s="1219" t="str">
        <f>IF(ISNUMBER((I12-AB12+L12)/(F12)),(I12-AB12+L12)/(F12)," - ")</f>
        <v xml:space="preserve"> - </v>
      </c>
      <c r="BM12" s="1343">
        <f>IF(ISNUMBER((Datos!P12-Datos!Q12+Datos!DE12)/(Datos!R12-Datos!P12+Datos!Q12-Datos!DE12)),(Datos!P12-Datos!Q12+Datos!DE12)/(Datos!R12-Datos!P12+Datos!Q12-Datos!DE12)," - ")</f>
        <v>-1.6890727335401586E-2</v>
      </c>
      <c r="BN12" s="1340"/>
      <c r="BO12" s="1340"/>
      <c r="BP12" s="1229" t="str">
        <f>IF(ISNUMBER(Datos!EV12),Datos!EV12," - ")</f>
        <v xml:space="preserve"> - </v>
      </c>
      <c r="BQ12" s="1229" t="str">
        <f>IF(ISNUMBER(Datos!CW12),Datos!CW12," - ")</f>
        <v xml:space="preserve"> - </v>
      </c>
      <c r="BR12" s="1229"/>
      <c r="BS12" s="1229"/>
      <c r="BT12" s="1229">
        <f>Datos!CX12</f>
        <v>0</v>
      </c>
      <c r="BU12" s="1259">
        <f>Datos!DU12</f>
        <v>0</v>
      </c>
      <c r="BV12" s="1424">
        <f>Datos!ER12/factor_trimestre</f>
        <v>185.45454545454547</v>
      </c>
      <c r="BZ12" s="1421">
        <f>Datos!EZ12</f>
        <v>0</v>
      </c>
    </row>
    <row r="13" spans="1:78" ht="15.75" thickTop="1" thickBot="1">
      <c r="A13" s="1205"/>
      <c r="B13" s="1205"/>
      <c r="C13" s="1381" t="str">
        <f>Datos!A13</f>
        <v>TOTAL</v>
      </c>
      <c r="D13" s="1390"/>
      <c r="E13" s="1434">
        <f t="shared" ref="E13:Z13" si="0">SUBTOTAL(9,E8:E12)</f>
        <v>3</v>
      </c>
      <c r="F13" s="1391">
        <f t="shared" si="0"/>
        <v>0</v>
      </c>
      <c r="G13" s="1391">
        <f t="shared" si="0"/>
        <v>0</v>
      </c>
      <c r="H13" s="1392">
        <f t="shared" si="0"/>
        <v>0</v>
      </c>
      <c r="I13" s="1391">
        <f t="shared" si="0"/>
        <v>0</v>
      </c>
      <c r="J13" s="1383">
        <f t="shared" si="0"/>
        <v>0</v>
      </c>
      <c r="K13" s="1383">
        <f t="shared" si="0"/>
        <v>0</v>
      </c>
      <c r="L13" s="1392">
        <f t="shared" si="0"/>
        <v>0</v>
      </c>
      <c r="M13" s="1392">
        <f t="shared" si="0"/>
        <v>0</v>
      </c>
      <c r="N13" s="1392">
        <f t="shared" si="0"/>
        <v>25</v>
      </c>
      <c r="O13" s="1393">
        <f t="shared" si="0"/>
        <v>0</v>
      </c>
      <c r="P13" s="1393">
        <f t="shared" si="0"/>
        <v>0</v>
      </c>
      <c r="Q13" s="1392">
        <f t="shared" si="0"/>
        <v>230</v>
      </c>
      <c r="R13" s="1392">
        <f t="shared" si="0"/>
        <v>0</v>
      </c>
      <c r="S13" s="1394">
        <f t="shared" si="0"/>
        <v>0</v>
      </c>
      <c r="T13" s="1394">
        <f t="shared" si="0"/>
        <v>0</v>
      </c>
      <c r="U13" s="1392">
        <f t="shared" si="0"/>
        <v>0</v>
      </c>
      <c r="V13" s="1429">
        <f t="shared" si="0"/>
        <v>0</v>
      </c>
      <c r="W13" s="1383">
        <f t="shared" si="0"/>
        <v>0</v>
      </c>
      <c r="X13" s="1384" t="e">
        <f t="shared" si="0"/>
        <v>#VALUE!</v>
      </c>
      <c r="Y13" s="1393">
        <f t="shared" si="0"/>
        <v>0</v>
      </c>
      <c r="Z13" s="1392">
        <f t="shared" si="0"/>
        <v>0</v>
      </c>
      <c r="AA13" s="1395">
        <f>IF(ISNUMBER((Z13*factor_trimestre)/Datos!CN13),(Z13*factor_trimestre)/Datos!CN13,"-")</f>
        <v>0</v>
      </c>
      <c r="AB13" s="1392">
        <f t="shared" ref="AB13:BF13" si="1">SUBTOTAL(9,AB8:AB12)</f>
        <v>0</v>
      </c>
      <c r="AC13" s="1392">
        <f t="shared" si="1"/>
        <v>279</v>
      </c>
      <c r="AD13" s="1392">
        <f t="shared" si="1"/>
        <v>0</v>
      </c>
      <c r="AE13" s="1392">
        <f t="shared" si="1"/>
        <v>0</v>
      </c>
      <c r="AF13" s="1392">
        <f t="shared" si="1"/>
        <v>0</v>
      </c>
      <c r="AG13" s="1392">
        <f t="shared" si="1"/>
        <v>0</v>
      </c>
      <c r="AH13" s="1392">
        <f t="shared" si="1"/>
        <v>24</v>
      </c>
      <c r="AI13" s="1392">
        <f t="shared" si="1"/>
        <v>0</v>
      </c>
      <c r="AJ13" s="1392">
        <f t="shared" si="1"/>
        <v>0</v>
      </c>
      <c r="AK13" s="1392">
        <f t="shared" si="1"/>
        <v>0</v>
      </c>
      <c r="AL13" s="1392">
        <f t="shared" si="1"/>
        <v>0</v>
      </c>
      <c r="AM13" s="1392">
        <f t="shared" si="1"/>
        <v>2852</v>
      </c>
      <c r="AN13" s="1392">
        <f t="shared" si="1"/>
        <v>0</v>
      </c>
      <c r="AO13" s="1392">
        <f t="shared" si="1"/>
        <v>0</v>
      </c>
      <c r="AP13" s="1392">
        <f t="shared" si="1"/>
        <v>0</v>
      </c>
      <c r="AQ13" s="1392">
        <f t="shared" si="1"/>
        <v>0</v>
      </c>
      <c r="AR13" s="1392">
        <f t="shared" si="1"/>
        <v>0</v>
      </c>
      <c r="AS13" s="1392">
        <f t="shared" si="1"/>
        <v>0</v>
      </c>
      <c r="AT13" s="1392">
        <f t="shared" si="1"/>
        <v>0</v>
      </c>
      <c r="AU13" s="1392">
        <f t="shared" si="1"/>
        <v>0</v>
      </c>
      <c r="AV13" s="1392">
        <f t="shared" si="1"/>
        <v>0</v>
      </c>
      <c r="AW13" s="1392">
        <f t="shared" si="1"/>
        <v>0</v>
      </c>
      <c r="AX13" s="1392">
        <f t="shared" si="1"/>
        <v>0</v>
      </c>
      <c r="AY13" s="1392">
        <f t="shared" si="1"/>
        <v>0</v>
      </c>
      <c r="AZ13" s="1392">
        <f t="shared" si="1"/>
        <v>0</v>
      </c>
      <c r="BA13" s="1392">
        <f t="shared" si="1"/>
        <v>0</v>
      </c>
      <c r="BB13" s="1392">
        <f t="shared" si="1"/>
        <v>0</v>
      </c>
      <c r="BC13" s="1392">
        <f t="shared" si="1"/>
        <v>243</v>
      </c>
      <c r="BD13" s="1392">
        <f t="shared" si="1"/>
        <v>200</v>
      </c>
      <c r="BE13" s="1392">
        <f t="shared" si="1"/>
        <v>0</v>
      </c>
      <c r="BF13" s="1392">
        <f t="shared" si="1"/>
        <v>0</v>
      </c>
      <c r="BG13" s="1392">
        <f>IF(ISNUMBER(Datos!K13/Datos!J13),Datos!K13/Datos!J13," - ")</f>
        <v>1.0254237288135593</v>
      </c>
      <c r="BH13" s="1396">
        <f>IF(ISNUMBER(((Datos!L13/Datos!K13)*11)/factor_trimestre),((Datos!L13/Datos!K13)*11)/factor_trimestre," - ")</f>
        <v>8.127272727272727</v>
      </c>
      <c r="BI13" s="1392">
        <f>IF(ISNUMBER('Resol  Asuntos'!D13/NºAsuntos!G13),'Resol  Asuntos'!D13/NºAsuntos!G13," - ")</f>
        <v>0.38388625592417064</v>
      </c>
      <c r="BJ13" s="1392" t="str">
        <f>IF(ISNUMBER(Datos!CI13/Datos!CJ13),Datos!CI13/Datos!CJ13," - ")</f>
        <v xml:space="preserve"> - </v>
      </c>
      <c r="BK13" s="1392">
        <f>SUBTOTAL(9,BK8:BK12)</f>
        <v>0</v>
      </c>
      <c r="BL13" s="1392" t="str">
        <f>IF(ISNUMBER((I13-AB13+L13)/(F13)),(I13-AB13+L13)/(F13)," - ")</f>
        <v xml:space="preserve"> - </v>
      </c>
      <c r="BM13" s="1397">
        <f>SUBTOTAL(9,BM9:BM12)</f>
        <v>-1.6890727335401586E-2</v>
      </c>
      <c r="BN13" s="1392">
        <f t="shared" ref="BN13:BV13" si="2">SUBTOTAL(9,BN8:BN12)</f>
        <v>0</v>
      </c>
      <c r="BO13" s="1392">
        <f t="shared" si="2"/>
        <v>0</v>
      </c>
      <c r="BP13" s="1392">
        <f t="shared" si="2"/>
        <v>0</v>
      </c>
      <c r="BQ13" s="1392">
        <f t="shared" si="2"/>
        <v>0</v>
      </c>
      <c r="BR13" s="1392">
        <f t="shared" si="2"/>
        <v>0</v>
      </c>
      <c r="BS13" s="1392">
        <f t="shared" si="2"/>
        <v>0</v>
      </c>
      <c r="BT13" s="1392">
        <f t="shared" si="2"/>
        <v>0</v>
      </c>
      <c r="BU13" s="1392">
        <f t="shared" si="2"/>
        <v>0</v>
      </c>
      <c r="BV13" s="1400">
        <f t="shared" si="2"/>
        <v>1309.909090909091</v>
      </c>
    </row>
    <row r="14" spans="1:78" ht="15" thickTop="1">
      <c r="A14" s="1282"/>
      <c r="B14" s="1282"/>
      <c r="C14" s="1234" t="str">
        <f>Datos!A14</f>
        <v xml:space="preserve">Jurisdicción Penal ( 2 ):                      </v>
      </c>
      <c r="D14" s="1283"/>
      <c r="E14" s="1284"/>
      <c r="F14" s="1285"/>
      <c r="G14" s="1285"/>
      <c r="H14" s="1273"/>
      <c r="I14" s="1272"/>
      <c r="J14" s="1207"/>
      <c r="K14" s="1207"/>
      <c r="L14" s="1273"/>
      <c r="M14" s="1215"/>
      <c r="N14" s="1222"/>
      <c r="O14" s="1273"/>
      <c r="P14" s="1273"/>
      <c r="Q14" s="1215"/>
      <c r="R14" s="1215"/>
      <c r="S14" s="1274"/>
      <c r="T14" s="1274"/>
      <c r="U14" s="1215"/>
      <c r="V14" s="1249"/>
      <c r="W14" s="1238"/>
      <c r="X14" s="1416"/>
      <c r="Y14" s="1342"/>
      <c r="Z14" s="1214"/>
      <c r="AA14" s="1257"/>
      <c r="AB14" s="1214"/>
      <c r="AC14" s="1215"/>
      <c r="AD14" s="1222"/>
      <c r="AE14" s="1222"/>
      <c r="AF14" s="1272"/>
      <c r="AG14" s="1247"/>
      <c r="AH14" s="1247"/>
      <c r="AI14" s="1247"/>
      <c r="AJ14" s="1247"/>
      <c r="AK14" s="1247"/>
      <c r="AL14" s="1258"/>
      <c r="AM14" s="1248"/>
      <c r="AN14" s="1247"/>
      <c r="AO14" s="1247"/>
      <c r="AP14" s="1247"/>
      <c r="AQ14" s="1247"/>
      <c r="AR14" s="1247"/>
      <c r="AS14" s="1247"/>
      <c r="AT14" s="1214"/>
      <c r="AU14" s="1236"/>
      <c r="AV14" s="1216"/>
      <c r="AW14" s="1236"/>
      <c r="AX14" s="1216"/>
      <c r="AY14" s="1236"/>
      <c r="AZ14" s="1216"/>
      <c r="BA14" s="1236"/>
      <c r="BB14" s="1216"/>
      <c r="BC14" s="1214"/>
      <c r="BD14" s="1218"/>
      <c r="BE14" s="1218"/>
      <c r="BF14" s="1217"/>
      <c r="BG14" s="1223"/>
      <c r="BH14" s="1226"/>
      <c r="BI14" s="1223"/>
      <c r="BJ14" s="1219"/>
      <c r="BK14" s="1252"/>
      <c r="BL14" s="1219"/>
      <c r="BM14" s="1242"/>
      <c r="BN14" s="1326"/>
      <c r="BO14" s="1326"/>
      <c r="BP14" s="1229"/>
      <c r="BQ14" s="1229"/>
      <c r="BR14" s="1284"/>
      <c r="BS14" s="1284"/>
      <c r="BT14" s="1229"/>
      <c r="BU14" s="1259"/>
      <c r="BV14" s="1425"/>
      <c r="BZ14" s="1438">
        <f>Datos!EZ14</f>
        <v>0</v>
      </c>
    </row>
    <row r="15" spans="1:78" s="1336" customFormat="1" ht="14.25">
      <c r="A15" s="1330">
        <f>Datos!AO15</f>
        <v>0</v>
      </c>
      <c r="B15" s="1331" t="s">
        <v>397</v>
      </c>
      <c r="C15" s="1337" t="str">
        <f>Datos!A15</f>
        <v xml:space="preserve">Seccion Instruccion Del T.I.                   </v>
      </c>
      <c r="D15" s="1338"/>
      <c r="E15" s="1435">
        <f>IF(ISNUMBER(Datos!AQ15),Datos!AQ15," - ")</f>
        <v>0</v>
      </c>
      <c r="F15" s="1332" t="str">
        <f>IF(ISNUMBER(AF15+AB15-Datos!J15-L15),AF15+AB15-Datos!J15-L15," - ")</f>
        <v xml:space="preserve"> - </v>
      </c>
      <c r="G15" s="1335" t="str">
        <f>IF(ISNUMBER(IF(D_I="SI",Datos!I15,Datos!I15+Datos!AC15)),IF(D_I="SI",Datos!I15,Datos!I15+Datos!AC15)," - ")</f>
        <v xml:space="preserve"> - </v>
      </c>
      <c r="H15" s="1339"/>
      <c r="I15" s="1332" t="str">
        <f>IF(ISNUMBER(Datos!DC15),Datos!DC15," - ")</f>
        <v xml:space="preserve"> - </v>
      </c>
      <c r="J15" s="1215" t="str">
        <f>IF(ISNUMBER(Datos!DC15),Datos!DC15," - ")</f>
        <v xml:space="preserve"> - </v>
      </c>
      <c r="K15" s="1344"/>
      <c r="L15" s="1339">
        <f>IF(ISNUMBER(Datos!DF15),Datos!DF15,0)</f>
        <v>0</v>
      </c>
      <c r="M15" s="1215">
        <f>IF(ISNUMBER(Datos!DM15),Datos!DM15,0)</f>
        <v>0</v>
      </c>
      <c r="N15" s="1247"/>
      <c r="O15" s="1344" t="str">
        <f>IF(ISNUMBER(Datos!EB15),Datos!EB15," - ")</f>
        <v xml:space="preserve"> - </v>
      </c>
      <c r="P15" s="1344" t="str">
        <f>IF(ISNUMBER(Datos!EC15),Datos!EC15," - ")</f>
        <v xml:space="preserve"> - </v>
      </c>
      <c r="Q15" s="1215">
        <f>IF(ISNUMBER(Datos!P15),Datos!P15,0)</f>
        <v>0</v>
      </c>
      <c r="R15" s="1215" t="str">
        <f>IF(ISNUMBER(Datos!DE15),Datos!DE15," - ")</f>
        <v xml:space="preserve"> - </v>
      </c>
      <c r="S15" s="1352" t="str">
        <f>IF(ISNUMBER(Datos!EB15*factor_trimestre/Datos!EE15),Datos!EB15*factor_trimestre/Datos!EE15," - ")</f>
        <v xml:space="preserve"> - </v>
      </c>
      <c r="T15" s="1352" t="str">
        <f>IF(ISNUMBER(Datos!EC15*factor_trimestre/Datos!EF15),Datos!EC15*factor_trimestre/Datos!EF15," - ")</f>
        <v xml:space="preserve"> - </v>
      </c>
      <c r="U15" s="1215" t="str">
        <f>IF(ISNUMBER((Datos!AS15+Datos!AT15)),(Datos!AS15+Datos!AT15)," - ")</f>
        <v xml:space="preserve"> - </v>
      </c>
      <c r="V15" s="1249" t="str">
        <f>IF(ISNUMBER(U15/(Datos!BM15/factor_trimestre)),U15/(Datos!BM15/factor_trimestre)," - ")</f>
        <v xml:space="preserve"> - </v>
      </c>
      <c r="W15" s="1215" t="str">
        <f>IF(ISNUMBER(Datos!EO15),Datos!EO15," - ")</f>
        <v xml:space="preserve"> - </v>
      </c>
      <c r="X15" s="1415" t="e">
        <f>(W15/Datos!ER15)*factor_trimestre</f>
        <v>#VALUE!</v>
      </c>
      <c r="Y15" s="1350"/>
      <c r="Z15" s="1214">
        <f>IF(ISNUMBER(Datos!BY15+Datos!BZ15*1.16),Datos!BY15+Datos!BZ15*1.16," - ")</f>
        <v>0</v>
      </c>
      <c r="AA15" s="1249">
        <f>IF(ISNUMBER((Z15*factor_trimestre)/DatosB!CN15),(Z15*factor_trimestre)/DatosB!CN15,"-")</f>
        <v>0</v>
      </c>
      <c r="AB15" s="1214" t="str">
        <f>IF(ISNUMBER(IF(D_I="SI",Datos!K15,Datos!K15+Datos!AE15)),IF(D_I="SI",Datos!K15,Datos!K15+Datos!AE15)," - ")</f>
        <v xml:space="preserve"> - </v>
      </c>
      <c r="AC15" s="1215" t="str">
        <f>IF(ISNUMBER(Datos!Q15),Datos!Q15," - ")</f>
        <v xml:space="preserve"> - </v>
      </c>
      <c r="AD15" s="1247"/>
      <c r="AE15" s="1262"/>
      <c r="AF15" s="1333" t="str">
        <f>IF(ISNUMBER(IF(D_I="SI",Datos!L15,Datos!L15+Datos!AF15)),IF(D_I="SI",Datos!L15,Datos!L15+Datos!AF15)," - ")</f>
        <v xml:space="preserve"> - </v>
      </c>
      <c r="AG15" s="1247"/>
      <c r="AH15" s="1247"/>
      <c r="AI15" s="1247"/>
      <c r="AJ15" s="1247"/>
      <c r="AK15" s="1247"/>
      <c r="AL15" s="1258"/>
      <c r="AM15" s="1248" t="str">
        <f>IF(ISNUMBER(Datos!R15),Datos!R15," - ")</f>
        <v xml:space="preserve"> - </v>
      </c>
      <c r="AN15" s="1247"/>
      <c r="AO15" s="1247"/>
      <c r="AP15" s="1247"/>
      <c r="AQ15" s="1247"/>
      <c r="AR15" s="1247"/>
      <c r="AS15" s="1247" t="str">
        <f>IF(ISNUMBER(Datos!BV15),Datos!BV15," - ")</f>
        <v xml:space="preserve"> - </v>
      </c>
      <c r="AT15" s="1214" t="str">
        <f>IF(ISNUMBER(Datos!CK15),Datos!CK15," - ")</f>
        <v xml:space="preserve"> - </v>
      </c>
      <c r="AU15" s="1236" t="str">
        <f>IF(ISNUMBER(Datos!CL15),Datos!CL15," - ")</f>
        <v xml:space="preserve"> - </v>
      </c>
      <c r="AV15" s="1216" t="str">
        <f>IF(ISNUMBER(Datos!CM15),Datos!CM15," - ")</f>
        <v xml:space="preserve"> - </v>
      </c>
      <c r="AW15" s="1236" t="str">
        <f>IF(ISNUMBER(Datos!DV15),Datos!DV15," - ")</f>
        <v xml:space="preserve"> - </v>
      </c>
      <c r="AX15" s="1216"/>
      <c r="AY15" s="1236"/>
      <c r="AZ15" s="1216"/>
      <c r="BA15" s="1236"/>
      <c r="BB15" s="1216"/>
      <c r="BC15" s="1214" t="str">
        <f>IF(ISNUMBER(Datos!M15),Datos!M15," - ")</f>
        <v xml:space="preserve"> - </v>
      </c>
      <c r="BD15" s="1218" t="str">
        <f>IF(ISNUMBER(Datos!N15),Datos!N15," - ")</f>
        <v xml:space="preserve"> - </v>
      </c>
      <c r="BE15" s="1218" t="str">
        <f>IF(ISNUMBER(Datos!BW15),Datos!BW15," - ")</f>
        <v xml:space="preserve"> - </v>
      </c>
      <c r="BF15" s="1217" t="str">
        <f>IF(ISNUMBER(Datos!BX15),Datos!BX15," - ")</f>
        <v xml:space="preserve"> - </v>
      </c>
      <c r="BG15" s="1223" t="str">
        <f>IF(ISNUMBER(IF(D_I="SI",Datos!K15/Datos!J15,(Datos!K15+Datos!AE15)/(Datos!J15+Datos!AD15))),IF(D_I="SI",Datos!K15/Datos!J15,(Datos!K15+Datos!AE15)/(Datos!J15+Datos!AD15))," - ")</f>
        <v xml:space="preserve"> - </v>
      </c>
      <c r="BH15" s="1226" t="str">
        <f>IF(ISNUMBER(((IF(D_I="SI",Datos!L15/Datos!K15,(Datos!L15+Datos!AF15)/(Datos!K15+Datos!AE15)))*11)/factor_trimestre),((IF(D_I="SI",Datos!L15/Datos!K15,(Datos!L15+Datos!AF15)/(Datos!K15+Datos!AE15)))*11)/factor_trimestre," - ")</f>
        <v xml:space="preserve"> - </v>
      </c>
      <c r="BI15" s="1223" t="str">
        <f>IF(ISNUMBER('Resol  Asuntos'!D15/NºAsuntos!G15),'Resol  Asuntos'!D15/NºAsuntos!G15," - ")</f>
        <v xml:space="preserve"> - </v>
      </c>
      <c r="BJ15" s="1219" t="str">
        <f>IF(ISNUMBER(Datos!CI15/Datos!CJ15),Datos!CI15/Datos!CJ15," - ")</f>
        <v xml:space="preserve"> - </v>
      </c>
      <c r="BK15" s="1252"/>
      <c r="BL15" s="1219" t="str">
        <f>IF(ISNUMBER((J15-AB15+L15)/(F15)),(J15-AB15+L15)/(F15)," - ")</f>
        <v xml:space="preserve"> - </v>
      </c>
      <c r="BM15" s="1242" t="str">
        <f>IF(ISNUMBER((Datos!P15-Datos!Q15+R15)/(Datos!R15-Datos!P15+Datos!Q15-R15)),(Datos!P15-Datos!Q15+R15)/(Datos!R15-Datos!P15+Datos!Q15-R15)," - ")</f>
        <v xml:space="preserve"> - </v>
      </c>
      <c r="BN15" s="1356" t="str">
        <f>IF(ISNUMBER(Datos!CS15),Datos!CS15," - ")</f>
        <v xml:space="preserve"> - </v>
      </c>
      <c r="BO15" s="1356" t="str">
        <f>IF(ISNUMBER(Datos!EI15),Datos!EI15," - ")</f>
        <v xml:space="preserve"> - </v>
      </c>
      <c r="BP15" s="1229" t="str">
        <f>IF(ISNUMBER(Datos!EV15),Datos!EV15," - ")</f>
        <v xml:space="preserve"> - </v>
      </c>
      <c r="BQ15" s="1229" t="str">
        <f>IF(ISNUMBER(Datos!CW15),Datos!CW15," - ")</f>
        <v xml:space="preserve"> - </v>
      </c>
      <c r="BR15" s="1334"/>
      <c r="BS15" s="1334"/>
      <c r="BT15" s="1229">
        <f>Datos!CX15</f>
        <v>0</v>
      </c>
      <c r="BU15" s="1259">
        <f>Datos!DU15</f>
        <v>0</v>
      </c>
      <c r="BV15" s="1424">
        <f>Datos!ER15/factor_trimestre</f>
        <v>900</v>
      </c>
      <c r="BZ15" s="1182">
        <f>Datos!EZ15</f>
        <v>0</v>
      </c>
    </row>
    <row r="16" spans="1:7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332"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350"/>
      <c r="Z16" s="1214">
        <f>IF(ISNUMBER(Datos!BY16+Datos!BZ16*1.16),Datos!BY16+Datos!BZ16*1.16," - ")</f>
        <v>0</v>
      </c>
      <c r="AA16" s="1249">
        <f>IF(ISNUMBER((Z16*factor_trimestre)/DatosB!CN16),(Z16*factor_trimestre)/DatosB!CN16,"-")</f>
        <v>0</v>
      </c>
      <c r="AB16" s="1214" t="str">
        <f>IF(ISNUMBER(IF(D_I="SI",Datos!K16,Datos!K16+Datos!AE16)),IF(D_I="SI",Datos!K16,Datos!K16+Datos!AE16)," - ")</f>
        <v xml:space="preserve"> - </v>
      </c>
      <c r="AC16" s="1215" t="str">
        <f>IF(ISNUMBER(Datos!Q16),Datos!Q16," - ")</f>
        <v xml:space="preserve"> - </v>
      </c>
      <c r="AD16" s="1247"/>
      <c r="AE16" s="1262"/>
      <c r="AF16" s="1333" t="str">
        <f>IF(ISNUMBER(IF(D_I="SI",Datos!L16,Datos!L16+Datos!AF16)),IF(D_I="SI",Datos!L16,Datos!L16+Datos!AF16)," - ")</f>
        <v xml:space="preserve"> - </v>
      </c>
      <c r="AG16" s="1247"/>
      <c r="AH16" s="1247"/>
      <c r="AI16" s="1247"/>
      <c r="AJ16" s="1247"/>
      <c r="AK16" s="1247"/>
      <c r="AL16" s="1258"/>
      <c r="AM16" s="1248"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36" t="str">
        <f>IF(ISNUMBER(Datos!CL16),Datos!CL16," - ")</f>
        <v xml:space="preserve"> - </v>
      </c>
      <c r="AV16" s="1216" t="str">
        <f>IF(ISNUMBER(Datos!CM16),Datos!CM16," - ")</f>
        <v xml:space="preserve"> - </v>
      </c>
      <c r="AW16" s="1236" t="str">
        <f>IF(ISNUMBER(Datos!DV16),Datos!DV16," - ")</f>
        <v xml:space="preserve"> - </v>
      </c>
      <c r="AX16" s="1216"/>
      <c r="AY16" s="1236"/>
      <c r="AZ16" s="1216"/>
      <c r="BA16" s="1236"/>
      <c r="BB16" s="1216"/>
      <c r="BC16" s="1214" t="str">
        <f>IF(ISNUMBER(Datos!M16),Datos!M16," - ")</f>
        <v xml:space="preserve"> - </v>
      </c>
      <c r="BD16" s="1218" t="str">
        <f>IF(ISNUMBER(Datos!N16),Datos!N16," - ")</f>
        <v xml:space="preserve"> - </v>
      </c>
      <c r="BE16" s="1218" t="str">
        <f>IF(ISNUMBER(Datos!BW16),Datos!BW16," - ")</f>
        <v xml:space="preserve"> - </v>
      </c>
      <c r="BF16" s="1217" t="str">
        <f>IF(ISNUMBER(Datos!BX16),Datos!BX16," - ")</f>
        <v xml:space="preserve"> - </v>
      </c>
      <c r="BG16" s="1223" t="str">
        <f>IF(ISNUMBER(IF(D_I="SI",Datos!K16/Datos!J16,(Datos!K16+Datos!AE16)/(Datos!J16+Datos!AD16))),IF(D_I="SI",Datos!K16/Datos!J16,(Datos!K16+Datos!AE16)/(Datos!J16+Datos!AD16))," - ")</f>
        <v xml:space="preserve"> - </v>
      </c>
      <c r="BH16" s="1226"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21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29" t="str">
        <f>IF(ISNUMBER(Datos!EV16),Datos!EV16," - ")</f>
        <v xml:space="preserve"> - </v>
      </c>
      <c r="BQ16" s="1229" t="str">
        <f>IF(ISNUMBER(Datos!CW16),Datos!CW16," - ")</f>
        <v xml:space="preserve"> - </v>
      </c>
      <c r="BR16" s="1334"/>
      <c r="BS16" s="1334"/>
      <c r="BT16" s="1229">
        <f>Datos!CX16</f>
        <v>0</v>
      </c>
      <c r="BU16" s="1259">
        <f>Datos!DU16</f>
        <v>0</v>
      </c>
      <c r="BV16" s="1424">
        <f>Datos!ER16/factor_trimestre</f>
        <v>900</v>
      </c>
      <c r="BZ16" s="1182">
        <f>Datos!EZ16</f>
        <v>0</v>
      </c>
    </row>
    <row r="17" spans="1:78" s="1336" customFormat="1" ht="14.25">
      <c r="A17" s="1330">
        <f>Datos!AO17</f>
        <v>3</v>
      </c>
      <c r="B17" s="1331" t="s">
        <v>397</v>
      </c>
      <c r="C17" s="1337" t="str">
        <f>Datos!A17</f>
        <v xml:space="preserve">Sección Civil y de Inst. TI                      </v>
      </c>
      <c r="D17" s="1338"/>
      <c r="E17" s="1435">
        <f>IF(ISNUMBER(Datos!AQ17),Datos!AQ17," - ")</f>
        <v>3</v>
      </c>
      <c r="F17" s="1332">
        <f>IF(ISNUMBER(AF17+AB17-Datos!J17-L17),AF17+AB17-Datos!J17-L17," - ")</f>
        <v>1541</v>
      </c>
      <c r="G17" s="1335">
        <f>IF(ISNUMBER(IF(D_I="SI",Datos!I17,Datos!I17+Datos!AC17)),IF(D_I="SI",Datos!I17,Datos!I17+Datos!AC17)," - ")</f>
        <v>1383</v>
      </c>
      <c r="H17" s="1339"/>
      <c r="I17" s="1332" t="str">
        <f>IF(ISNUMBER(Datos!DC17),Datos!DC17," - ")</f>
        <v xml:space="preserve"> - </v>
      </c>
      <c r="J17" s="1215" t="str">
        <f>IF(ISNUMBER(Datos!DC17),Datos!DC17," - ")</f>
        <v xml:space="preserve"> - </v>
      </c>
      <c r="K17" s="1344"/>
      <c r="L17" s="1339">
        <f>IF(ISNUMBER(Datos!DF17),Datos!DF17,0)</f>
        <v>0</v>
      </c>
      <c r="M17" s="1215">
        <f>IF(ISNUMBER(Datos!DM17),Datos!DM17,0)</f>
        <v>0</v>
      </c>
      <c r="N17" s="1247"/>
      <c r="O17" s="1344"/>
      <c r="P17" s="1344"/>
      <c r="Q17" s="1215">
        <f>IF(ISNUMBER(Datos!P17),Datos!P17,0)</f>
        <v>7</v>
      </c>
      <c r="R17" s="1215" t="str">
        <f>IF(ISNUMBER(Datos!DE17),Datos!DE17," - ")</f>
        <v xml:space="preserve"> - </v>
      </c>
      <c r="S17" s="1352"/>
      <c r="T17" s="1352"/>
      <c r="U17" s="1215" t="str">
        <f>IF(ISNUMBER(Datos!AS17/1),Datos!AS17/1," - ")</f>
        <v xml:space="preserve"> - </v>
      </c>
      <c r="V17" s="1249" t="str">
        <f>IF(ISNUMBER(U17/(Datos!BM17/factor_trimestre)),U17/(Datos!BM17/factor_trimestre)," - ")</f>
        <v xml:space="preserve"> - </v>
      </c>
      <c r="W17" s="1215" t="str">
        <f>IF(ISNUMBER(Datos!EO17),Datos!EO17," - ")</f>
        <v xml:space="preserve"> - </v>
      </c>
      <c r="X17" s="1415" t="e">
        <f>(W17/Datos!ER17)*factor_trimestre</f>
        <v>#VALUE!</v>
      </c>
      <c r="Y17" s="1350"/>
      <c r="Z17" s="1214" t="str">
        <f>IF(ISNUMBER(Datos!BY17),Datos!BY17," - ")</f>
        <v xml:space="preserve"> - </v>
      </c>
      <c r="AA17" s="1249" t="str">
        <f>IF(ISNUMBER((Z17*factor_trimestre)/DatosB!CN17),(Z17*factor_trimestre)/DatosB!CN17,"-")</f>
        <v>-</v>
      </c>
      <c r="AB17" s="1214">
        <f>IF(ISNUMBER(IF(D_I="SI",Datos!K17,Datos!K17+Datos!AE17)),IF(D_I="SI",Datos!K17,Datos!K17+Datos!AE17)," - ")</f>
        <v>433</v>
      </c>
      <c r="AC17" s="1215">
        <f>IF(ISNUMBER(Datos!Q17),Datos!Q17," - ")</f>
        <v>17</v>
      </c>
      <c r="AD17" s="1247"/>
      <c r="AE17" s="1262"/>
      <c r="AF17" s="1333">
        <f>IF(ISNUMBER(IF(D_I="SI",Datos!L17,Datos!L17+Datos!AF17)),IF(D_I="SI",Datos!L17,Datos!L17+Datos!AF17)," - ")</f>
        <v>1411</v>
      </c>
      <c r="AG17" s="1247"/>
      <c r="AH17" s="1247"/>
      <c r="AI17" s="1247"/>
      <c r="AJ17" s="1247"/>
      <c r="AK17" s="1247"/>
      <c r="AL17" s="1258"/>
      <c r="AM17" s="1248">
        <f>IF(ISNUMBER(Datos!R17),Datos!R17," - ")</f>
        <v>51</v>
      </c>
      <c r="AN17" s="1247"/>
      <c r="AO17" s="1247"/>
      <c r="AP17" s="1247"/>
      <c r="AQ17" s="1247"/>
      <c r="AR17" s="1247"/>
      <c r="AS17" s="1247" t="str">
        <f>IF(ISNUMBER(Datos!BV17),Datos!BV17," - ")</f>
        <v xml:space="preserve"> - </v>
      </c>
      <c r="AT17" s="1214" t="str">
        <f>IF(ISNUMBER(Datos!CK17),Datos!CK17," - ")</f>
        <v xml:space="preserve"> - </v>
      </c>
      <c r="AU17" s="1236" t="str">
        <f>IF(ISNUMBER(Datos!CL17),Datos!CL17," - ")</f>
        <v xml:space="preserve"> - </v>
      </c>
      <c r="AV17" s="1216" t="str">
        <f>IF(ISNUMBER(Datos!CM17),Datos!CM17," - ")</f>
        <v xml:space="preserve"> - </v>
      </c>
      <c r="AW17" s="1236" t="str">
        <f>IF(ISNUMBER(Datos!DV17),Datos!DV17," - ")</f>
        <v xml:space="preserve"> - </v>
      </c>
      <c r="AX17" s="1216"/>
      <c r="AY17" s="1236"/>
      <c r="AZ17" s="1216"/>
      <c r="BA17" s="1236"/>
      <c r="BB17" s="1216"/>
      <c r="BC17" s="1214">
        <f>IF(ISNUMBER(Datos!M17),Datos!M17," - ")</f>
        <v>90</v>
      </c>
      <c r="BD17" s="1218">
        <f>IF(ISNUMBER(Datos!N17),Datos!N17," - ")</f>
        <v>262</v>
      </c>
      <c r="BE17" s="1218" t="str">
        <f>IF(ISNUMBER(Datos!BW17),Datos!BW17," - ")</f>
        <v xml:space="preserve"> - </v>
      </c>
      <c r="BF17" s="1217" t="str">
        <f>IF(ISNUMBER(Datos!BX17),Datos!BX17," - ")</f>
        <v xml:space="preserve"> - </v>
      </c>
      <c r="BG17" s="1223">
        <f>IF(ISNUMBER(IF(D_I="SI",Datos!K17/Datos!J17,(Datos!K17+Datos!AE17)/(Datos!J17+Datos!AD17))),IF(D_I="SI",Datos!K17/Datos!J17,(Datos!K17+Datos!AE17)/(Datos!J17+Datos!AD17))," - ")</f>
        <v>1.4290429042904291</v>
      </c>
      <c r="BH17" s="1226">
        <f>IF(ISNUMBER(((IF(D_I="SI",Datos!L17/Datos!K17,(Datos!L17+Datos!AF17)/(Datos!K17+Datos!AE17)))*11)/factor_trimestre),((IF(D_I="SI",Datos!L17/Datos!K17,(Datos!L17+Datos!AF17)/(Datos!K17+Datos!AE17)))*11)/factor_trimestre," - ")</f>
        <v>9.7759815242494223</v>
      </c>
      <c r="BI17" s="1223">
        <f>IF(ISNUMBER('Resol  Asuntos'!D17/NºAsuntos!G17),'Resol  Asuntos'!D17/NºAsuntos!G17," - ")</f>
        <v>0.20785219399538107</v>
      </c>
      <c r="BJ17" s="1219" t="str">
        <f>IF(ISNUMBER(Datos!CI17/Datos!CJ17),Datos!CI17/Datos!CJ17," - ")</f>
        <v xml:space="preserve"> - </v>
      </c>
      <c r="BK17" s="1252"/>
      <c r="BL17" s="1219" t="str">
        <f>IF(ISNUMBER((J17-AB17+L17)/(F17)),(J17-AB17+L17)/(F17)," - ")</f>
        <v xml:space="preserve"> - </v>
      </c>
      <c r="BM17" s="1242" t="str">
        <f>IF(ISNUMBER((Datos!P17-Datos!Q17+R17)/(Datos!R17-Datos!P17+Datos!Q17-R17)),(Datos!P17-Datos!Q17+R17)/(Datos!R17-Datos!P17+Datos!Q17-R17)," - ")</f>
        <v xml:space="preserve"> - </v>
      </c>
      <c r="BN17" s="1356" t="str">
        <f>IF(ISNUMBER(Datos!CS17),Datos!CS17," - ")</f>
        <v xml:space="preserve"> - </v>
      </c>
      <c r="BO17" s="1356" t="str">
        <f>IF(ISNUMBER(Datos!EI17),Datos!EI17," - ")</f>
        <v xml:space="preserve"> - </v>
      </c>
      <c r="BP17" s="1229" t="str">
        <f>IF(ISNUMBER(Datos!EV17),Datos!EV17," - ")</f>
        <v xml:space="preserve"> - </v>
      </c>
      <c r="BQ17" s="1229" t="str">
        <f>IF(ISNUMBER(Datos!CW17),Datos!CW17," - ")</f>
        <v xml:space="preserve"> - </v>
      </c>
      <c r="BR17" s="1334"/>
      <c r="BS17" s="1334"/>
      <c r="BT17" s="1229">
        <f>Datos!CX17</f>
        <v>0</v>
      </c>
      <c r="BU17" s="1259">
        <f>Datos!DU17</f>
        <v>0</v>
      </c>
      <c r="BV17" s="1424">
        <f>Datos!ER17/factor_trimestre</f>
        <v>272.72727272727275</v>
      </c>
      <c r="BZ17" s="1182">
        <f>Datos!EZ17</f>
        <v>0</v>
      </c>
    </row>
    <row r="18" spans="1:78" ht="15" thickBot="1">
      <c r="A18" s="1275">
        <f>Datos!AO18</f>
        <v>1</v>
      </c>
      <c r="B18" s="1280" t="s">
        <v>397</v>
      </c>
      <c r="C18" s="1193" t="str">
        <f>Datos!A18</f>
        <v>Sección De Violencia sobre la Mujer del TI</v>
      </c>
      <c r="D18" s="1281"/>
      <c r="E18" s="1420">
        <f>IF(ISNUMBER(Datos!AQ18),Datos!AQ18," - ")</f>
        <v>0</v>
      </c>
      <c r="F18" s="1214" t="str">
        <f>IF(ISNUMBER(AF18+AB18-I18-L18),AF18+AB18-I18-L18," - ")</f>
        <v xml:space="preserve"> - </v>
      </c>
      <c r="G18" s="1246">
        <f>IF(ISNUMBER(IF(D_I="SI",Datos!I18,Datos!I18+Datos!AC18)),IF(D_I="SI",Datos!I18,Datos!I18+Datos!AC18)," - ")</f>
        <v>13</v>
      </c>
      <c r="H18" s="1215"/>
      <c r="I18" s="1214" t="str">
        <f>IF(ISNUMBER(Datos!DB18),Datos!DB18," - ")</f>
        <v xml:space="preserve"> - </v>
      </c>
      <c r="J18" s="1215" t="str">
        <f>IF(ISNUMBER(Datos!DC18),Datos!DC18," - ")</f>
        <v xml:space="preserve"> - </v>
      </c>
      <c r="K18" s="1247"/>
      <c r="L18" s="1215">
        <f>IF(ISNUMBER(Datos!DF18),Datos!DF18,0)</f>
        <v>0</v>
      </c>
      <c r="M18" s="1215">
        <f>IF(ISNUMBER(Datos!DM18),Datos!DM18,0)</f>
        <v>0</v>
      </c>
      <c r="N18" s="1247"/>
      <c r="O18" s="1247" t="str">
        <f>IF(ISNUMBER(Datos!EB18),Datos!EB18," - ")</f>
        <v xml:space="preserve"> - </v>
      </c>
      <c r="P18" s="1247" t="str">
        <f>IF(ISNUMBER(Datos!EC18),Datos!EC18," - ")</f>
        <v xml:space="preserve"> - </v>
      </c>
      <c r="Q18" s="1215">
        <f>IF(ISNUMBER(Datos!P18),Datos!P18,0)</f>
        <v>0</v>
      </c>
      <c r="R18" s="1215" t="str">
        <f>IF(ISNUMBER(Datos!DE18),Datos!DE18," - ")</f>
        <v xml:space="preserve"> - </v>
      </c>
      <c r="S18" s="1250" t="str">
        <f>IF(ISNUMBER(Datos!EB18*factor_trimestre/Datos!EE18),Datos!EB18*factor_trimestre/Datos!EE18," - ")</f>
        <v xml:space="preserve"> - </v>
      </c>
      <c r="T18" s="1250" t="str">
        <f>IF(ISNUMBER(Datos!EC18*factor_trimestre/Datos!EF18),Datos!EC18*factor_trimestre/Datos!EF18," - ")</f>
        <v xml:space="preserve"> - </v>
      </c>
      <c r="U18" s="1215" t="str">
        <f>IF(ISNUMBER((Datos!AS18+Datos!AT18)),(Datos!AS18+Datos!AT18)," - ")</f>
        <v xml:space="preserve"> - </v>
      </c>
      <c r="V18" s="1260" t="str">
        <f>IF(ISNUMBER(U18/(Datos!BM18/factor_trimestre)),U18/(Datos!BM18/factor_trimestre)," - ")</f>
        <v xml:space="preserve"> - </v>
      </c>
      <c r="W18" s="1215" t="str">
        <f>IF(ISNUMBER(Datos!EO18),Datos!EO18," - ")</f>
        <v xml:space="preserve"> - </v>
      </c>
      <c r="X18" s="1415" t="e">
        <f>(W18/Datos!ER18)*factor_trimestre</f>
        <v>#VALUE!</v>
      </c>
      <c r="Y18" s="1351"/>
      <c r="Z18" s="1214" t="str">
        <f>IF(ISNUMBER(Datos!BY18+Datos!BZ18),Datos!BY18+Datos!BZ18," - ")</f>
        <v xml:space="preserve"> - </v>
      </c>
      <c r="AA18" s="1260" t="str">
        <f>IF(ISNUMBER((Z18*factor_trimestre)/DatosB!CN18),(Z18*factor_trimestre)/DatosB!CN18,"-")</f>
        <v>-</v>
      </c>
      <c r="AB18" s="1214">
        <f>IF(ISNUMBER(IF(D_I="SI",Datos!K18,Datos!K18+Datos!AE18)),IF(D_I="SI",Datos!K18,Datos!K18+Datos!AE18)," - ")</f>
        <v>0</v>
      </c>
      <c r="AC18" s="1215">
        <f>IF(ISNUMBER(Datos!Q18),Datos!Q18," - ")</f>
        <v>0</v>
      </c>
      <c r="AD18" s="1247"/>
      <c r="AE18" s="1262"/>
      <c r="AF18" s="1245">
        <f>IF(ISNUMBER(Datos!L18),Datos!L18,"-")</f>
        <v>13</v>
      </c>
      <c r="AG18" s="1247"/>
      <c r="AH18" s="1247"/>
      <c r="AI18" s="1247"/>
      <c r="AJ18" s="1247"/>
      <c r="AK18" s="1247"/>
      <c r="AL18" s="1258"/>
      <c r="AM18" s="1248">
        <f>IF(ISNUMBER(Datos!R18),Datos!R18," - ")</f>
        <v>4</v>
      </c>
      <c r="AN18" s="1247"/>
      <c r="AO18" s="1247"/>
      <c r="AP18" s="1247"/>
      <c r="AQ18" s="1247"/>
      <c r="AR18" s="1247"/>
      <c r="AS18" s="1247" t="str">
        <f>IF(ISNUMBER(Datos!BV18),Datos!BV18," - ")</f>
        <v xml:space="preserve"> - </v>
      </c>
      <c r="AT18" s="1214" t="str">
        <f>IF(ISNUMBER(Datos!CK18),Datos!CK18," - ")</f>
        <v xml:space="preserve"> - </v>
      </c>
      <c r="AU18" s="1236" t="str">
        <f>IF(ISNUMBER(Datos!CL18),Datos!CL18," - ")</f>
        <v xml:space="preserve"> - </v>
      </c>
      <c r="AV18" s="1216" t="str">
        <f>IF(ISNUMBER(Datos!CM18),Datos!CM18," - ")</f>
        <v xml:space="preserve"> - </v>
      </c>
      <c r="AW18" s="1236" t="str">
        <f>IF(ISNUMBER(Datos!DV18),Datos!DV18," - ")</f>
        <v xml:space="preserve"> - </v>
      </c>
      <c r="AX18" s="1216"/>
      <c r="AY18" s="1236"/>
      <c r="AZ18" s="1216"/>
      <c r="BA18" s="1236"/>
      <c r="BB18" s="1216"/>
      <c r="BC18" s="1214">
        <f>IF(ISNUMBER(Datos!M18),Datos!M18," - ")</f>
        <v>0</v>
      </c>
      <c r="BD18" s="1218">
        <f>IF(ISNUMBER(Datos!N18),Datos!N18," - ")</f>
        <v>0</v>
      </c>
      <c r="BE18" s="1218" t="str">
        <f>IF(ISNUMBER(Datos!BW18),Datos!BW18," - ")</f>
        <v xml:space="preserve"> - </v>
      </c>
      <c r="BF18" s="1217" t="str">
        <f>IF(ISNUMBER(Datos!BX18),Datos!BX18," - ")</f>
        <v xml:space="preserve"> - </v>
      </c>
      <c r="BG18" s="1223" t="str">
        <f>IF(ISNUMBER(IF(D_I="SI",Datos!K18/Datos!J18,(Datos!K18+Datos!AE18)/(Datos!J18+Datos!AD18))),IF(D_I="SI",Datos!K18/Datos!J18,(Datos!K18+Datos!AE18)/(Datos!J18+Datos!AD18))," - ")</f>
        <v xml:space="preserve"> - </v>
      </c>
      <c r="BH18" s="1226" t="str">
        <f>IF(ISNUMBER(((IF(D_I="SI",Datos!L18/Datos!K18,(Datos!L18+Datos!AF18)/(Datos!K18+Datos!AE18)))*11)/factor_trimestre),((IF(D_I="SI",Datos!L18/Datos!K18,(Datos!L18+Datos!AF18)/(Datos!K18+Datos!AE18)))*11)/factor_trimestre," - ")</f>
        <v xml:space="preserve"> - </v>
      </c>
      <c r="BI18" s="1223" t="str">
        <f>IF(ISNUMBER('Resol  Asuntos'!D18/NºAsuntos!G18),'Resol  Asuntos'!D18/NºAsuntos!G18," - ")</f>
        <v xml:space="preserve"> - </v>
      </c>
      <c r="BJ18" s="1219" t="str">
        <f>IF(ISNUMBER(Datos!CI18/Datos!CJ18),Datos!CI18/Datos!CJ18," - ")</f>
        <v xml:space="preserve"> - </v>
      </c>
      <c r="BK18" s="1252"/>
      <c r="BL18" s="1219" t="str">
        <f>IF(ISNUMBER((I18-AB18+L18)/(F18)),(I18-AB18+L18)/(F18)," - ")</f>
        <v xml:space="preserve"> - </v>
      </c>
      <c r="BM18" s="1343" t="str">
        <f>IF(ISNUMBER((Datos!P18-Datos!Q18+R18)/(Datos!R18-Datos!P18+Datos!Q18-R18)),(Datos!P18-Datos!Q18+R18)/(Datos!R18-Datos!P18+Datos!Q18-R18)," - ")</f>
        <v xml:space="preserve"> - </v>
      </c>
      <c r="BN18" s="1357" t="str">
        <f>IF(ISNUMBER(Datos!CS18),Datos!CS18," - ")</f>
        <v xml:space="preserve"> - </v>
      </c>
      <c r="BO18" s="1357" t="str">
        <f>IF(ISNUMBER(Datos!EI18),Datos!EI18," - ")</f>
        <v xml:space="preserve"> - </v>
      </c>
      <c r="BP18" s="1229" t="str">
        <f>IF(ISNUMBER(Datos!EV18),Datos!EV18," - ")</f>
        <v xml:space="preserve"> - </v>
      </c>
      <c r="BQ18" s="1229" t="str">
        <f>IF(ISNUMBER(Datos!CW18),Datos!CW18," - ")</f>
        <v xml:space="preserve"> - </v>
      </c>
      <c r="BR18" s="1229"/>
      <c r="BS18" s="1229"/>
      <c r="BT18" s="1229">
        <f>Datos!CX18</f>
        <v>0</v>
      </c>
      <c r="BU18" s="1259">
        <f>Datos!DU18</f>
        <v>0</v>
      </c>
      <c r="BV18" s="1424">
        <f>Datos!ER18/factor_trimestre</f>
        <v>436.36363636363637</v>
      </c>
      <c r="BZ18" s="1182">
        <f>Datos!EZ18</f>
        <v>0</v>
      </c>
    </row>
    <row r="19" spans="1:78" ht="15.75" thickTop="1" thickBot="1">
      <c r="A19" s="1205"/>
      <c r="B19" s="1205"/>
      <c r="C19" s="1381" t="str">
        <f>Datos!A19</f>
        <v>TOTAL</v>
      </c>
      <c r="D19" s="1390"/>
      <c r="E19" s="1434">
        <f>SUBTOTAL(9,E15:E18)</f>
        <v>3</v>
      </c>
      <c r="F19" s="1391">
        <f>SUBTOTAL(9,F15:F18)</f>
        <v>1541</v>
      </c>
      <c r="G19" s="1391">
        <f>SUBTOTAL(9,G15:G18)</f>
        <v>1396</v>
      </c>
      <c r="H19" s="1392">
        <f>SUBTOTAL(9,H15:H18)</f>
        <v>0</v>
      </c>
      <c r="I19" s="1391">
        <f>SUBTOTAL(9,I15:I18)</f>
        <v>0</v>
      </c>
      <c r="J19" s="1383">
        <f>SUBTOTAL(9,J14:J18)</f>
        <v>0</v>
      </c>
      <c r="K19" s="1383">
        <f>SUBTOTAL(9,K14:K18)</f>
        <v>0</v>
      </c>
      <c r="L19" s="1392">
        <f t="shared" ref="L19:V19" si="3">SUBTOTAL(9,L15:L18)</f>
        <v>0</v>
      </c>
      <c r="M19" s="1392">
        <f t="shared" si="3"/>
        <v>0</v>
      </c>
      <c r="N19" s="1392">
        <f t="shared" si="3"/>
        <v>0</v>
      </c>
      <c r="O19" s="1393">
        <f t="shared" si="3"/>
        <v>0</v>
      </c>
      <c r="P19" s="1393">
        <f t="shared" si="3"/>
        <v>0</v>
      </c>
      <c r="Q19" s="1392">
        <f t="shared" si="3"/>
        <v>7</v>
      </c>
      <c r="R19" s="1392">
        <f t="shared" si="3"/>
        <v>0</v>
      </c>
      <c r="S19" s="1394">
        <f t="shared" si="3"/>
        <v>0</v>
      </c>
      <c r="T19" s="1394">
        <f t="shared" si="3"/>
        <v>0</v>
      </c>
      <c r="U19" s="1392">
        <f t="shared" si="3"/>
        <v>0</v>
      </c>
      <c r="V19" s="1429">
        <f t="shared" si="3"/>
        <v>0</v>
      </c>
      <c r="W19" s="1382">
        <f>SUBTOTAL(9,W14:W18)</f>
        <v>0</v>
      </c>
      <c r="X19" s="1417" t="e">
        <f>SUBTOTAL(9,X14:X18)</f>
        <v>#VALUE!</v>
      </c>
      <c r="Y19" s="1393">
        <f>SUBTOTAL(9,Y15:Y18)</f>
        <v>0</v>
      </c>
      <c r="Z19" s="1392">
        <f>SUBTOTAL(9,Z15:Z18)</f>
        <v>0</v>
      </c>
      <c r="AA19" s="1395" t="str">
        <f>IF(ISNUMBER((Z19*factor_trimestre)/Datos!CN19),(Z19*factor_trimestre)/Datos!CN19,"-")</f>
        <v>-</v>
      </c>
      <c r="AB19" s="1392">
        <f t="shared" ref="AB19:BF19" si="4">SUBTOTAL(9,AB15:AB18)</f>
        <v>433</v>
      </c>
      <c r="AC19" s="1392">
        <f t="shared" si="4"/>
        <v>17</v>
      </c>
      <c r="AD19" s="1392">
        <f t="shared" si="4"/>
        <v>0</v>
      </c>
      <c r="AE19" s="1392">
        <f t="shared" si="4"/>
        <v>0</v>
      </c>
      <c r="AF19" s="1392">
        <f t="shared" si="4"/>
        <v>1424</v>
      </c>
      <c r="AG19" s="1392">
        <f t="shared" si="4"/>
        <v>0</v>
      </c>
      <c r="AH19" s="1392">
        <f t="shared" si="4"/>
        <v>0</v>
      </c>
      <c r="AI19" s="1392">
        <f t="shared" si="4"/>
        <v>0</v>
      </c>
      <c r="AJ19" s="1392">
        <f t="shared" si="4"/>
        <v>0</v>
      </c>
      <c r="AK19" s="1392">
        <f t="shared" si="4"/>
        <v>0</v>
      </c>
      <c r="AL19" s="1392">
        <f t="shared" si="4"/>
        <v>0</v>
      </c>
      <c r="AM19" s="1392">
        <f t="shared" si="4"/>
        <v>55</v>
      </c>
      <c r="AN19" s="1392">
        <f t="shared" si="4"/>
        <v>0</v>
      </c>
      <c r="AO19" s="1392">
        <f t="shared" si="4"/>
        <v>0</v>
      </c>
      <c r="AP19" s="1392">
        <f t="shared" si="4"/>
        <v>0</v>
      </c>
      <c r="AQ19" s="1392">
        <f t="shared" si="4"/>
        <v>0</v>
      </c>
      <c r="AR19" s="1392">
        <f t="shared" si="4"/>
        <v>0</v>
      </c>
      <c r="AS19" s="1392">
        <f t="shared" si="4"/>
        <v>0</v>
      </c>
      <c r="AT19" s="1392">
        <f t="shared" si="4"/>
        <v>0</v>
      </c>
      <c r="AU19" s="1392">
        <f t="shared" si="4"/>
        <v>0</v>
      </c>
      <c r="AV19" s="1392">
        <f t="shared" si="4"/>
        <v>0</v>
      </c>
      <c r="AW19" s="1392">
        <f t="shared" si="4"/>
        <v>0</v>
      </c>
      <c r="AX19" s="1392">
        <f t="shared" si="4"/>
        <v>0</v>
      </c>
      <c r="AY19" s="1392">
        <f t="shared" si="4"/>
        <v>0</v>
      </c>
      <c r="AZ19" s="1392">
        <f t="shared" si="4"/>
        <v>0</v>
      </c>
      <c r="BA19" s="1392">
        <f t="shared" si="4"/>
        <v>0</v>
      </c>
      <c r="BB19" s="1392">
        <f t="shared" si="4"/>
        <v>0</v>
      </c>
      <c r="BC19" s="1392">
        <f t="shared" si="4"/>
        <v>90</v>
      </c>
      <c r="BD19" s="1392">
        <f t="shared" si="4"/>
        <v>262</v>
      </c>
      <c r="BE19" s="1392">
        <f t="shared" si="4"/>
        <v>0</v>
      </c>
      <c r="BF19" s="1392">
        <f t="shared" si="4"/>
        <v>0</v>
      </c>
      <c r="BG19" s="1392">
        <f>IF(ISNUMBER(Datos!K19/Datos!J19),Datos!K19/Datos!J19," - ")</f>
        <v>1.4290429042904291</v>
      </c>
      <c r="BH19" s="1396">
        <f>IF(ISNUMBER(((Datos!L19/Datos!K19)*11)/factor_trimestre),((Datos!L19/Datos!K19)*11)/factor_trimestre," - ")</f>
        <v>9.8660508083140872</v>
      </c>
      <c r="BI19" s="1392">
        <f>SUBTOTAL(9,BI15:BI18)</f>
        <v>0.20785219399538107</v>
      </c>
      <c r="BJ19" s="1392">
        <f>SUBTOTAL(9,BJ15:BJ18)</f>
        <v>0</v>
      </c>
      <c r="BK19" s="1392">
        <f>SUBTOTAL(9,BK15:BK18)</f>
        <v>0</v>
      </c>
      <c r="BL19" s="1392">
        <f>IF(ISNUMBER((I19-AB19+L19)/(F19)),(I19-AB19+L19)/(F19)," - ")</f>
        <v>-0.28098637248539909</v>
      </c>
      <c r="BM19" s="1398">
        <f>IF(ISNUMBER((Datos!P19-Datos!Q19)/(Datos!R19-Datos!P19+Datos!Q19)),(Datos!P19-Datos!Q19)/(Datos!R19-Datos!P19+Datos!Q19)," - ")</f>
        <v>-0.15384615384615385</v>
      </c>
      <c r="BN19" s="1392">
        <f t="shared" ref="BN19:BV19" si="5">SUBTOTAL(9,BN15:BN18)</f>
        <v>0</v>
      </c>
      <c r="BO19" s="1392">
        <f t="shared" si="5"/>
        <v>0</v>
      </c>
      <c r="BP19" s="1392">
        <f t="shared" si="5"/>
        <v>0</v>
      </c>
      <c r="BQ19" s="1392">
        <f t="shared" si="5"/>
        <v>0</v>
      </c>
      <c r="BR19" s="1392">
        <f t="shared" si="5"/>
        <v>0</v>
      </c>
      <c r="BS19" s="1392">
        <f t="shared" si="5"/>
        <v>0</v>
      </c>
      <c r="BT19" s="1392">
        <f t="shared" si="5"/>
        <v>0</v>
      </c>
      <c r="BU19" s="1392">
        <f t="shared" si="5"/>
        <v>0</v>
      </c>
      <c r="BV19" s="1400">
        <f t="shared" si="5"/>
        <v>2509.0909090909095</v>
      </c>
    </row>
    <row r="20" spans="1:78" ht="18.75" customHeight="1" thickTop="1" thickBot="1">
      <c r="A20" s="1204"/>
      <c r="B20" s="1204"/>
      <c r="C20" s="1366" t="str">
        <f>Datos!A20</f>
        <v>TOTAL JURISDICCIONES</v>
      </c>
      <c r="D20" s="1366"/>
      <c r="E20" s="1436">
        <f t="shared" ref="E20:R20" si="6">SUBTOTAL(9,E9:E19)</f>
        <v>6</v>
      </c>
      <c r="F20" s="1367">
        <f t="shared" si="6"/>
        <v>1541</v>
      </c>
      <c r="G20" s="1367">
        <f t="shared" si="6"/>
        <v>1396</v>
      </c>
      <c r="H20" s="1369">
        <f t="shared" si="6"/>
        <v>0</v>
      </c>
      <c r="I20" s="1367">
        <f t="shared" si="6"/>
        <v>0</v>
      </c>
      <c r="J20" s="1369">
        <f t="shared" si="6"/>
        <v>0</v>
      </c>
      <c r="K20" s="1369">
        <f t="shared" si="6"/>
        <v>0</v>
      </c>
      <c r="L20" s="1386">
        <f t="shared" si="6"/>
        <v>0</v>
      </c>
      <c r="M20" s="1386">
        <f t="shared" si="6"/>
        <v>0</v>
      </c>
      <c r="N20" s="1386">
        <f t="shared" si="6"/>
        <v>25</v>
      </c>
      <c r="O20" s="1386">
        <f t="shared" si="6"/>
        <v>0</v>
      </c>
      <c r="P20" s="1386">
        <f t="shared" si="6"/>
        <v>0</v>
      </c>
      <c r="Q20" s="1369">
        <f t="shared" si="6"/>
        <v>237</v>
      </c>
      <c r="R20" s="1369">
        <f t="shared" si="6"/>
        <v>0</v>
      </c>
      <c r="S20" s="1401">
        <f>IF(ISNUMBER(AVERAGE(S8:S19)),AVERAGE(S8:S19),"-")</f>
        <v>0</v>
      </c>
      <c r="T20" s="1401">
        <f>IF(ISNUMBER(AVERAGE(T8:T19)),AVERAGE(T8:T19),"-")</f>
        <v>0</v>
      </c>
      <c r="U20" s="1369">
        <f>SUBTOTAL(9,U9:U19)</f>
        <v>0</v>
      </c>
      <c r="V20" s="1431">
        <f>IF(ISNUMBER(AVERAGE(V8:V19)),AVERAGE(V8:V19),"-")</f>
        <v>0</v>
      </c>
      <c r="W20" s="1385">
        <f>SUBTOTAL(9,W9:W19)</f>
        <v>0</v>
      </c>
      <c r="X20" s="1431" t="str">
        <f>IF(ISNUMBER(AVERAGE(X8:X19)),AVERAGE(X8:X19),"-")</f>
        <v>-</v>
      </c>
      <c r="Y20" s="1402">
        <f>SUBTOTAL(9,Y9:Y19)</f>
        <v>0</v>
      </c>
      <c r="Z20" s="1374">
        <f>SUBTOTAL(9,Z9:Z19)</f>
        <v>0</v>
      </c>
      <c r="AA20" s="1403">
        <f>IF(ISNUMBER(AVERAGE(AA8:AA19)),AVERAGE(AA8:AA19),"-")</f>
        <v>0</v>
      </c>
      <c r="AB20" s="1368">
        <f t="shared" ref="AB20:BF20" si="7">SUBTOTAL(9,AB9:AB19)</f>
        <v>433</v>
      </c>
      <c r="AC20" s="1368">
        <f t="shared" si="7"/>
        <v>296</v>
      </c>
      <c r="AD20" s="1368">
        <f t="shared" si="7"/>
        <v>0</v>
      </c>
      <c r="AE20" s="1368">
        <f t="shared" si="7"/>
        <v>0</v>
      </c>
      <c r="AF20" s="1371">
        <f t="shared" si="7"/>
        <v>1424</v>
      </c>
      <c r="AG20" s="1371">
        <f t="shared" si="7"/>
        <v>0</v>
      </c>
      <c r="AH20" s="1371">
        <f t="shared" si="7"/>
        <v>24</v>
      </c>
      <c r="AI20" s="1371">
        <f t="shared" si="7"/>
        <v>0</v>
      </c>
      <c r="AJ20" s="1368">
        <f t="shared" si="7"/>
        <v>0</v>
      </c>
      <c r="AK20" s="1371">
        <f t="shared" si="7"/>
        <v>0</v>
      </c>
      <c r="AL20" s="1371">
        <f t="shared" si="7"/>
        <v>0</v>
      </c>
      <c r="AM20" s="1371">
        <f t="shared" si="7"/>
        <v>2907</v>
      </c>
      <c r="AN20" s="1372">
        <f t="shared" si="7"/>
        <v>0</v>
      </c>
      <c r="AO20" s="1372">
        <f t="shared" si="7"/>
        <v>0</v>
      </c>
      <c r="AP20" s="1372">
        <f t="shared" si="7"/>
        <v>0</v>
      </c>
      <c r="AQ20" s="1372">
        <f t="shared" si="7"/>
        <v>0</v>
      </c>
      <c r="AR20" s="1372">
        <f t="shared" si="7"/>
        <v>0</v>
      </c>
      <c r="AS20" s="1373">
        <f t="shared" si="7"/>
        <v>0</v>
      </c>
      <c r="AT20" s="1374">
        <f t="shared" si="7"/>
        <v>0</v>
      </c>
      <c r="AU20" s="1375">
        <f t="shared" si="7"/>
        <v>0</v>
      </c>
      <c r="AV20" s="1373">
        <f t="shared" si="7"/>
        <v>0</v>
      </c>
      <c r="AW20" s="1373">
        <f t="shared" si="7"/>
        <v>0</v>
      </c>
      <c r="AX20" s="1373">
        <f t="shared" si="7"/>
        <v>0</v>
      </c>
      <c r="AY20" s="1373">
        <f t="shared" si="7"/>
        <v>0</v>
      </c>
      <c r="AZ20" s="1373">
        <f t="shared" si="7"/>
        <v>0</v>
      </c>
      <c r="BA20" s="1375">
        <f t="shared" si="7"/>
        <v>0</v>
      </c>
      <c r="BB20" s="1367">
        <f t="shared" si="7"/>
        <v>0</v>
      </c>
      <c r="BC20" s="1367">
        <f t="shared" si="7"/>
        <v>333</v>
      </c>
      <c r="BD20" s="1367">
        <f t="shared" si="7"/>
        <v>462</v>
      </c>
      <c r="BE20" s="1367">
        <f t="shared" si="7"/>
        <v>0</v>
      </c>
      <c r="BF20" s="1373">
        <f t="shared" si="7"/>
        <v>0</v>
      </c>
      <c r="BG20" s="1404">
        <f>IF(ISNUMBER(Datos!K20/Datos!J20),Datos!K20/Datos!J20," - ")</f>
        <v>1.1623740201567749</v>
      </c>
      <c r="BH20" s="1404">
        <f>IF(ISNUMBER(((Datos!L20/Datos!K20)*11)/factor_trimestre),((Datos!L20/Datos!K20)*11)/factor_trimestre," - ")</f>
        <v>8.8526011560693636</v>
      </c>
      <c r="BI20" s="1362">
        <f>IF(ISNUMBER(Datos!J20/Datos!I20),Datos!J20/Datos!I20," - ")</f>
        <v>0.3126750700280112</v>
      </c>
      <c r="BJ20" s="1405" t="str">
        <f>IF(ISNUMBER(Datos!CI20/Datos!CJ20),Datos!CI20/Datos!CJ20," - ")</f>
        <v xml:space="preserve"> - </v>
      </c>
      <c r="BK20" s="1406">
        <f>SUBTOTAL(9,BK9:BK19)</f>
        <v>0</v>
      </c>
      <c r="BL20" s="1380">
        <f>IF(OR(ISNUMBER(FIND("01",Criterios!A8,1)),ISNUMBER(FIND("02",Criterios!A8,1)),ISNUMBER(FIND("03",Criterios!A8,1)),ISNUMBER(FIND("04",Criterios!A8,1))),(J20-AB20+L20)/(F20-L20),(I20-AB20+L20)/(F20-L20))</f>
        <v>-0.28098637248539909</v>
      </c>
      <c r="BM20" s="1387">
        <f>IF(ISNUMBER((Datos!P20-Datos!Q20+R20)/(Datos!R20-Datos!P20+Datos!Q20-R20)),(Datos!P20-Datos!Q20+R20)/(Datos!R20-Datos!P20+Datos!Q20-R20)," - ")</f>
        <v>-1.9892110586648686E-2</v>
      </c>
      <c r="BN20" s="1407">
        <f t="shared" ref="BN20:BV20" si="8">SUBTOTAL(9,BN9:BN19)</f>
        <v>0</v>
      </c>
      <c r="BO20" s="1407">
        <f t="shared" si="8"/>
        <v>0</v>
      </c>
      <c r="BP20" s="1385">
        <f t="shared" si="8"/>
        <v>0</v>
      </c>
      <c r="BQ20" s="1385">
        <f t="shared" si="8"/>
        <v>0</v>
      </c>
      <c r="BR20" s="1385">
        <f t="shared" si="8"/>
        <v>0</v>
      </c>
      <c r="BS20" s="1385">
        <f t="shared" si="8"/>
        <v>0</v>
      </c>
      <c r="BT20" s="1385">
        <f t="shared" si="8"/>
        <v>0</v>
      </c>
      <c r="BU20" s="1385">
        <f t="shared" si="8"/>
        <v>0</v>
      </c>
      <c r="BV20" s="1426">
        <f t="shared" si="8"/>
        <v>3819.0000000000005</v>
      </c>
    </row>
    <row r="21" spans="1:78" ht="18.75" customHeight="1" thickTop="1" thickBot="1">
      <c r="A21" s="1202"/>
      <c r="B21" s="1202"/>
      <c r="C21" s="1376" t="s">
        <v>265</v>
      </c>
      <c r="D21" s="1408"/>
      <c r="E21" s="1437">
        <f ca="1">IF(ISNUMBER(SUMIF($B8:$B19,$B21,E8:E19)/INDIRECT("Datos!AP"&amp;ROW()-1)),SUMIF($B8:$B19,$B21,E8:E19)/INDIRECT("Datos!AP"&amp;ROW()-1),"-")</f>
        <v>0</v>
      </c>
      <c r="F21" s="1362">
        <f ca="1">IF(ISNUMBER(SUMIF($B8:$B19,$B21,F8:F19)/INDIRECT("Datos!AP"&amp;ROW()-1)),SUMIF($B8:$B19,$B21,F8:F19)/INDIRECT("Datos!AP"&amp;ROW()-1),"-")</f>
        <v>0</v>
      </c>
      <c r="G21" s="1370">
        <f>IF(ISNUMBER(AVERAGE(G8:G19)),AVERAGE(G8:G19),"-")</f>
        <v>558.4</v>
      </c>
      <c r="H21" s="1364">
        <f t="shared" ref="H21:AN21" ca="1" si="9">IF(ISNUMBER(SUMIF($B8:$B19,$B21,H8:H19)/INDIRECT("Datos!AP"&amp;ROW()-1)),SUMIF($B8:$B19,$B21,H8:H19)/INDIRECT("Datos!AP"&amp;ROW()-1),"-")</f>
        <v>0</v>
      </c>
      <c r="I21" s="1362">
        <f t="shared" ca="1" si="9"/>
        <v>0</v>
      </c>
      <c r="J21" s="1364">
        <f t="shared" ca="1" si="9"/>
        <v>0</v>
      </c>
      <c r="K21" s="1364">
        <f t="shared" ca="1" si="9"/>
        <v>0</v>
      </c>
      <c r="L21" s="1364">
        <f t="shared" ca="1" si="9"/>
        <v>0</v>
      </c>
      <c r="M21" s="1364">
        <f t="shared" ca="1" si="9"/>
        <v>0</v>
      </c>
      <c r="N21" s="1364">
        <f t="shared" ca="1" si="9"/>
        <v>0</v>
      </c>
      <c r="O21" s="1364">
        <f t="shared" ca="1" si="9"/>
        <v>0</v>
      </c>
      <c r="P21" s="1364">
        <f t="shared" ca="1" si="9"/>
        <v>0</v>
      </c>
      <c r="Q21" s="1364">
        <f t="shared" ca="1" si="9"/>
        <v>0</v>
      </c>
      <c r="R21" s="1364">
        <f t="shared" ca="1" si="9"/>
        <v>0</v>
      </c>
      <c r="S21" s="1409">
        <f t="shared" ca="1" si="9"/>
        <v>0</v>
      </c>
      <c r="T21" s="1409">
        <f t="shared" ca="1" si="9"/>
        <v>0</v>
      </c>
      <c r="U21" s="1364">
        <f t="shared" ca="1" si="9"/>
        <v>0</v>
      </c>
      <c r="V21" s="1418">
        <f t="shared" ca="1" si="9"/>
        <v>0</v>
      </c>
      <c r="W21" s="1364">
        <f t="shared" ca="1" si="9"/>
        <v>0</v>
      </c>
      <c r="X21" s="1418">
        <f t="shared" ca="1" si="9"/>
        <v>0</v>
      </c>
      <c r="Y21" s="1410">
        <f t="shared" ca="1" si="9"/>
        <v>0</v>
      </c>
      <c r="Z21" s="1379">
        <f t="shared" ca="1" si="9"/>
        <v>0</v>
      </c>
      <c r="AA21" s="1377">
        <f t="shared" ca="1" si="9"/>
        <v>0</v>
      </c>
      <c r="AB21" s="1363">
        <f t="shared" ca="1" si="9"/>
        <v>0</v>
      </c>
      <c r="AC21" s="1363">
        <f t="shared" ca="1" si="9"/>
        <v>0</v>
      </c>
      <c r="AD21" s="1363">
        <f t="shared" ca="1" si="9"/>
        <v>0</v>
      </c>
      <c r="AE21" s="1363">
        <f t="shared" ca="1" si="9"/>
        <v>0</v>
      </c>
      <c r="AF21" s="1363">
        <f t="shared" ca="1" si="9"/>
        <v>0</v>
      </c>
      <c r="AG21" s="1363">
        <f t="shared" ca="1" si="9"/>
        <v>0</v>
      </c>
      <c r="AH21" s="1363">
        <f t="shared" ca="1" si="9"/>
        <v>0</v>
      </c>
      <c r="AI21" s="1363">
        <f t="shared" ca="1" si="9"/>
        <v>0</v>
      </c>
      <c r="AJ21" s="1363">
        <f t="shared" ca="1" si="9"/>
        <v>0</v>
      </c>
      <c r="AK21" s="1363">
        <f t="shared" ca="1" si="9"/>
        <v>0</v>
      </c>
      <c r="AL21" s="1363">
        <f t="shared" ca="1" si="9"/>
        <v>0</v>
      </c>
      <c r="AM21" s="1363">
        <f t="shared" ca="1" si="9"/>
        <v>0</v>
      </c>
      <c r="AN21" s="1378">
        <f t="shared" ca="1" si="9"/>
        <v>0</v>
      </c>
      <c r="AO21" s="1378">
        <f ca="1">IF(ISNUMBER(SUMIF($B8:$B19,$B21,AN8:AN19)/INDIRECT("Datos!AP"&amp;ROW()-1)),SUMIF($B8:$B19,$B21,AN8:AN19)/INDIRECT("Datos!AP"&amp;ROW()-1),"-")</f>
        <v>0</v>
      </c>
      <c r="AP21" s="1378">
        <f t="shared" ref="AP21:BI21" ca="1" si="10">IF(ISNUMBER(SUMIF($B8:$B19,$B21,AP8:AP19)/INDIRECT("Datos!AP"&amp;ROW()-1)),SUMIF($B8:$B19,$B21,AP8:AP19)/INDIRECT("Datos!AP"&amp;ROW()-1),"-")</f>
        <v>0</v>
      </c>
      <c r="AQ21" s="1378">
        <f t="shared" ca="1" si="10"/>
        <v>0</v>
      </c>
      <c r="AR21" s="1378">
        <f t="shared" ca="1" si="10"/>
        <v>0</v>
      </c>
      <c r="AS21" s="1364">
        <f t="shared" ca="1" si="10"/>
        <v>0</v>
      </c>
      <c r="AT21" s="1379">
        <f t="shared" ca="1" si="10"/>
        <v>0</v>
      </c>
      <c r="AU21" s="1378">
        <f t="shared" ca="1" si="10"/>
        <v>0</v>
      </c>
      <c r="AV21" s="1364">
        <f t="shared" ca="1" si="10"/>
        <v>0</v>
      </c>
      <c r="AW21" s="1411">
        <f t="shared" ca="1" si="10"/>
        <v>0</v>
      </c>
      <c r="AX21" s="1411">
        <f t="shared" ca="1" si="10"/>
        <v>0</v>
      </c>
      <c r="AY21" s="1411">
        <f t="shared" ca="1" si="10"/>
        <v>0</v>
      </c>
      <c r="AZ21" s="1411">
        <f t="shared" ca="1" si="10"/>
        <v>0</v>
      </c>
      <c r="BA21" s="1378">
        <f t="shared" ca="1" si="10"/>
        <v>0</v>
      </c>
      <c r="BB21" s="1362">
        <f t="shared" ca="1" si="10"/>
        <v>0</v>
      </c>
      <c r="BC21" s="1362">
        <f t="shared" ca="1" si="10"/>
        <v>0</v>
      </c>
      <c r="BD21" s="1362">
        <f t="shared" ca="1" si="10"/>
        <v>0</v>
      </c>
      <c r="BE21" s="1362">
        <f t="shared" ca="1" si="10"/>
        <v>0</v>
      </c>
      <c r="BF21" s="1364">
        <f t="shared" ca="1" si="10"/>
        <v>0</v>
      </c>
      <c r="BG21" s="1364">
        <f t="shared" ca="1" si="10"/>
        <v>0</v>
      </c>
      <c r="BH21" s="1364">
        <f t="shared" ca="1" si="10"/>
        <v>0</v>
      </c>
      <c r="BI21" s="1362">
        <f t="shared" ca="1" si="10"/>
        <v>0</v>
      </c>
      <c r="BJ21" s="1412" t="e">
        <f ca="1">INDIRECT("Datos!CI"&amp;ROW()-1)/INDIRECT("Datos!CJ"&amp;ROW()-1)</f>
        <v>#DIV/0!</v>
      </c>
      <c r="BK21" s="1413">
        <f ca="1">IF(ISNUMBER(SUMIF($B8:$B19,$B21,BK8:BK19)/INDIRECT("Datos!AP"&amp;ROW()-1)),SUMIF($B8:$B19,$B21,BK8:BK19)/INDIRECT("Datos!AP"&amp;ROW()-1),"-")</f>
        <v>0</v>
      </c>
      <c r="BL21" s="1380" t="e">
        <f ca="1">IF(OR(ISNUMBER(FIND("01",Criterios!A8,1)),ISNUMBER(FIND("02",Criterios!A8,1)),ISNUMBER(FIND("03",Criterios!A8,1)),ISNUMBER(FIND("04",Criterios!A8,1))),(J21-AB21+L21)/(F21-L21),(I21-AB21+L21)/(F21-L21))</f>
        <v>#DIV/0!</v>
      </c>
      <c r="BM21" s="1389">
        <f t="shared" ref="BM21:BS21" ca="1" si="11">IF(ISNUMBER(SUMIF($B8:$B19,$B21,BM8:BM19)/INDIRECT("Datos!AP"&amp;ROW()-1)),SUMIF($B8:$B19,$B21,BM8:BM19)/INDIRECT("Datos!AP"&amp;ROW()-1),"-")</f>
        <v>0</v>
      </c>
      <c r="BN21" s="1414">
        <f t="shared" ca="1" si="11"/>
        <v>0</v>
      </c>
      <c r="BO21" s="1414">
        <f t="shared" ca="1" si="11"/>
        <v>0</v>
      </c>
      <c r="BP21" s="1388">
        <f t="shared" ca="1" si="11"/>
        <v>0</v>
      </c>
      <c r="BQ21" s="1388">
        <f t="shared" ca="1" si="11"/>
        <v>0</v>
      </c>
      <c r="BR21" s="1388">
        <f t="shared" ca="1" si="11"/>
        <v>0</v>
      </c>
      <c r="BS21" s="1388">
        <f t="shared" ca="1" si="11"/>
        <v>0</v>
      </c>
      <c r="BT21" s="1388"/>
      <c r="BU21" s="1388"/>
      <c r="BV21" s="1365"/>
    </row>
    <row r="22" spans="1:78" ht="18.75" hidden="1" customHeight="1" thickTop="1" thickBot="1">
      <c r="A22" s="1203"/>
      <c r="B22" s="1203"/>
      <c r="C22" s="1203" t="s">
        <v>266</v>
      </c>
      <c r="D22" s="1261"/>
      <c r="E22" s="1288">
        <f>IF(ISNUMBER(STDEV(E8:E19)),STDEV(E8:E19),"-")</f>
        <v>1.5491933384829668</v>
      </c>
      <c r="F22" s="1298">
        <f>IF(ISNUMBER(STDEV(F8:F19)),STDEV(F8:F19),"-")</f>
        <v>889.69676482121338</v>
      </c>
      <c r="G22" s="1299">
        <f>IF(ISNUMBER(STDEV(G8:G19)),STDEV(G8:G19),"-")</f>
        <v>758.71951339081829</v>
      </c>
      <c r="H22" s="1300"/>
      <c r="I22" s="1298">
        <f>IF(ISNUMBER(STDEV(I8:I19)),STDEV(I8:I19),"-")</f>
        <v>0</v>
      </c>
      <c r="J22" s="1225">
        <f>IF(ISNUMBER(STDEV(J8:J19)),STDEV(J8:J19),"-")</f>
        <v>0</v>
      </c>
      <c r="K22" s="1233"/>
      <c r="L22" s="1300"/>
      <c r="M22" s="1300"/>
      <c r="N22" s="1300"/>
      <c r="O22" s="1300"/>
      <c r="P22" s="1300"/>
      <c r="Q22" s="1300"/>
      <c r="R22" s="1300"/>
      <c r="S22" s="1301"/>
      <c r="T22" s="1301"/>
      <c r="U22" s="1300"/>
      <c r="V22" s="1432"/>
      <c r="W22" s="1239"/>
      <c r="X22" s="1419"/>
      <c r="Y22" s="1354"/>
      <c r="Z22" s="1298">
        <f>IF(ISNUMBER(STDEV(Z8:Z19)),STDEV(Z8:Z19),"-")</f>
        <v>0</v>
      </c>
      <c r="AA22" s="1301">
        <f>IF(ISNUMBER(STDEV(AA8:AA19)),STDEV(AA8:AA19),"-")</f>
        <v>0</v>
      </c>
      <c r="AB22" s="1300">
        <f>IF(ISNUMBER(STDEV(AB8:AB19)),STDEV(AB8:AB19),"-")</f>
        <v>237.16386739973692</v>
      </c>
      <c r="AC22" s="1302"/>
      <c r="AD22" s="1302"/>
      <c r="AE22" s="1302"/>
      <c r="AF22" s="1302"/>
      <c r="AG22" s="1302"/>
      <c r="AH22" s="1302"/>
      <c r="AI22" s="1302"/>
      <c r="AJ22" s="1302"/>
      <c r="AK22" s="1302"/>
      <c r="AL22" s="1302"/>
      <c r="AM22" s="1302"/>
      <c r="AN22" s="1302"/>
      <c r="AO22" s="1302"/>
      <c r="AP22" s="1302"/>
      <c r="AQ22" s="1302"/>
      <c r="AR22" s="1302"/>
      <c r="AS22" s="1303">
        <f>IF(ISNUMBER(STDEV(AS8:AS19)),STDEV(AS8:AS19),"-")</f>
        <v>0</v>
      </c>
      <c r="AT22" s="1304">
        <f>IF(ISNUMBER(STDEV(AT8:AT19)),STDEV(AT8:AT19),"-")</f>
        <v>0</v>
      </c>
      <c r="AU22" s="1302">
        <f>IF(ISNUMBER(STDEV(AU8:AU19)),STDEV(AU8:AU19),"-")</f>
        <v>0</v>
      </c>
      <c r="AV22" s="1305"/>
      <c r="AW22" s="1305"/>
      <c r="AX22" s="1305"/>
      <c r="AY22" s="1305"/>
      <c r="AZ22" s="1305"/>
      <c r="BA22" s="1302">
        <f>IF(ISNUMBER(STDEV(BA8:BA19)),STDEV(BA8:BA19),"-")</f>
        <v>0</v>
      </c>
      <c r="BB22" s="1236"/>
      <c r="BC22" s="1298">
        <f>IF(ISNUMBER(STDEV(BC8:BC19)),STDEV(BC8:BC19),"-")</f>
        <v>109.88357475073333</v>
      </c>
      <c r="BD22" s="1298"/>
      <c r="BE22" s="1298">
        <f>IF(ISNUMBER(STDEV(BE8:BE19)),STDEV(BE8:BE19),"-")</f>
        <v>0</v>
      </c>
      <c r="BF22" s="1303">
        <f>IF(ISNUMBER(STDEV(BF8:BF19)),STDEV(BF8:BF19),"-")</f>
        <v>0</v>
      </c>
      <c r="BG22" s="1360">
        <f>IF(ISNUMBER(STDEV(BG8:BG19)),STDEV(BG8:BG19),"-")</f>
        <v>0.23192512054333206</v>
      </c>
      <c r="BH22" s="1361">
        <f>IF(ISNUMBER(STDEV(BH8:BH19)),STDEV(BH8:BH19),"-")</f>
        <v>1.0542561333785487</v>
      </c>
      <c r="BI22" s="1224">
        <f>IF(ISNUMBER(STDEV(BI8:BI19)),STDEV(BI8:BI19),"-")</f>
        <v>0.10163331304112998</v>
      </c>
      <c r="BJ22" s="1219" t="str">
        <f>IF(ISNUMBER(BL22/BM22),BL22/BM22," - ")</f>
        <v xml:space="preserve"> - </v>
      </c>
      <c r="BK22" s="1320"/>
      <c r="BL22" s="1306" t="str">
        <f>IF(ISNUMBER(STDEV(BL8:BL19)),STDEV(BL8:BL19),"-")</f>
        <v>-</v>
      </c>
      <c r="BM22" s="1307"/>
      <c r="BN22" s="1327"/>
      <c r="BO22" s="1327"/>
      <c r="BP22" s="1308">
        <f>IF(ISNUMBER(STDEV(BP8:BP19)),STDEV(BP8:BP19),"-")</f>
        <v>0</v>
      </c>
      <c r="BQ22" s="1308">
        <f>IF(ISNUMBER(STDEV(BQ8:BQ19)),STDEV(BQ8:BQ19),"-")</f>
        <v>0</v>
      </c>
      <c r="BR22" s="1308"/>
      <c r="BS22" s="1308"/>
      <c r="BT22" s="1309">
        <f>IF(ISNUMBER(STDEV(BT8:BT19)),STDEV(BT8:BT19),"-")</f>
        <v>0</v>
      </c>
      <c r="BU22" s="1310">
        <f>IF(ISNUMBER(STDEV(BU8:BU19)),STDEV(BU8:BU19),"-")</f>
        <v>0</v>
      </c>
      <c r="BV22" s="1427">
        <f>IF(ISNUMBER(STDEV(BV8:BV19)),STDEV(BV8:BV19),"-")</f>
        <v>709.02059325021912</v>
      </c>
    </row>
    <row r="23" spans="1:78" ht="12" customHeight="1" thickTop="1">
      <c r="C23" s="1195"/>
      <c r="D23" s="1195"/>
      <c r="F23" s="1311"/>
      <c r="G23" s="1311"/>
      <c r="H23" s="1311"/>
      <c r="I23" s="1311"/>
      <c r="L23" s="1311"/>
      <c r="M23" s="1311"/>
      <c r="N23" s="1311"/>
      <c r="O23" s="1321"/>
      <c r="P23" s="1321"/>
      <c r="Q23" s="1311"/>
      <c r="R23" s="1311"/>
      <c r="S23" s="1312"/>
      <c r="T23" s="1312"/>
      <c r="U23" s="1311"/>
      <c r="V23" s="1433"/>
      <c r="W23" s="1196"/>
      <c r="X23" s="1353"/>
      <c r="Y23" s="1355"/>
      <c r="Z23" s="1311"/>
      <c r="AA23" s="1312"/>
      <c r="AB23" s="1311"/>
      <c r="AC23" s="1311"/>
      <c r="AD23" s="1311"/>
      <c r="AE23" s="1311"/>
      <c r="AF23" s="1311"/>
      <c r="AG23" s="1311"/>
      <c r="AH23" s="1311"/>
      <c r="AI23" s="1311"/>
      <c r="AJ23" s="1311"/>
      <c r="AK23" s="1311"/>
      <c r="AL23" s="1311"/>
      <c r="AM23" s="1311"/>
      <c r="AN23" s="1311"/>
      <c r="AO23" s="1311"/>
      <c r="AP23" s="1311"/>
      <c r="AQ23" s="1311"/>
      <c r="AR23" s="1311"/>
      <c r="AS23" s="1311"/>
      <c r="AT23" s="1311"/>
      <c r="AU23" s="1311"/>
      <c r="AV23" s="1311"/>
      <c r="AW23" s="1311"/>
      <c r="AX23" s="1311"/>
      <c r="AY23" s="1311"/>
      <c r="AZ23" s="1311"/>
      <c r="BA23" s="1311"/>
      <c r="BB23" s="1236"/>
      <c r="BC23" s="1311"/>
      <c r="BD23" s="1311"/>
      <c r="BE23" s="1311"/>
      <c r="BF23" s="1311"/>
      <c r="BG23" s="1311"/>
      <c r="BH23" s="1311"/>
      <c r="BI23" s="1311"/>
      <c r="BJ23" s="1312"/>
      <c r="BK23" s="1321"/>
      <c r="BL23" s="1311" t="s">
        <v>425</v>
      </c>
      <c r="BM23" s="1313"/>
      <c r="BN23" s="1328"/>
      <c r="BO23" s="1328"/>
      <c r="BP23" s="1311"/>
      <c r="BQ23" s="1311"/>
      <c r="BR23" s="1311"/>
      <c r="BS23" s="1311"/>
      <c r="BT23" s="1314"/>
      <c r="BU23" s="1311"/>
      <c r="BV23" s="1311"/>
    </row>
    <row r="24" spans="1:78" ht="14.25">
      <c r="C24" s="1200"/>
      <c r="D24" s="1289"/>
      <c r="E24" s="1290"/>
      <c r="F24" s="1315"/>
      <c r="G24" s="1218"/>
      <c r="H24" s="1316"/>
      <c r="I24" s="1316"/>
      <c r="J24" s="1199"/>
      <c r="K24" s="1199"/>
      <c r="L24" s="1316"/>
      <c r="M24" s="1316"/>
      <c r="N24" s="1316"/>
      <c r="O24" s="1251"/>
      <c r="P24" s="1251"/>
      <c r="Q24" s="1316"/>
      <c r="R24" s="1316"/>
      <c r="S24" s="1250"/>
      <c r="T24" s="1250"/>
      <c r="U24" s="1316"/>
      <c r="V24" s="1430"/>
      <c r="W24" s="1240"/>
      <c r="X24" s="1235"/>
      <c r="Y24" s="1247"/>
      <c r="Z24" s="1251"/>
      <c r="AA24" s="1250"/>
      <c r="AB24" s="1316"/>
      <c r="AC24" s="1317"/>
      <c r="AD24" s="1317"/>
      <c r="AE24" s="1317"/>
      <c r="AF24" s="1236"/>
      <c r="AG24" s="1236"/>
      <c r="AH24" s="1236"/>
      <c r="AI24" s="1236"/>
      <c r="AJ24" s="1236"/>
      <c r="AK24" s="1317"/>
      <c r="AL24" s="1317"/>
      <c r="AM24" s="1317"/>
      <c r="AN24" s="1317"/>
      <c r="AO24" s="1317"/>
      <c r="AP24" s="1317"/>
      <c r="AQ24" s="1317"/>
      <c r="AR24" s="1317"/>
      <c r="AS24" s="1316"/>
      <c r="AT24" s="1316"/>
      <c r="AU24" s="1316"/>
      <c r="AV24" s="1316"/>
      <c r="AW24" s="1316"/>
      <c r="AX24" s="1316"/>
      <c r="AY24" s="1316"/>
      <c r="AZ24" s="1316"/>
      <c r="BA24" s="1316"/>
      <c r="BB24" s="1316"/>
      <c r="BC24" s="1316"/>
      <c r="BD24" s="1316"/>
      <c r="BE24" s="1316"/>
      <c r="BF24" s="1316"/>
      <c r="BG24" s="1316"/>
      <c r="BH24" s="1316"/>
      <c r="BI24" s="1316"/>
      <c r="BJ24" s="1250"/>
      <c r="BK24" s="1251"/>
      <c r="BL24" s="1250"/>
      <c r="BM24" s="1257"/>
      <c r="BN24" s="1329"/>
      <c r="BO24" s="1329"/>
      <c r="BP24" s="1316"/>
      <c r="BQ24" s="1316"/>
      <c r="BR24" s="1316"/>
      <c r="BS24" s="1316"/>
      <c r="BT24" s="1318"/>
      <c r="BU24" s="1318"/>
      <c r="BV24" s="1428"/>
    </row>
    <row r="25" spans="1:78" ht="14.25">
      <c r="C25" s="1193"/>
      <c r="D25" s="1292"/>
      <c r="E25" s="1290"/>
      <c r="F25" s="1315"/>
      <c r="G25" s="1218"/>
      <c r="H25" s="1316"/>
      <c r="I25" s="1316"/>
      <c r="J25" s="1199"/>
      <c r="K25" s="1199"/>
      <c r="L25" s="1316"/>
      <c r="M25" s="1316"/>
      <c r="N25" s="1316"/>
      <c r="O25" s="1251"/>
      <c r="P25" s="1251"/>
      <c r="Q25" s="1316"/>
      <c r="R25" s="1316"/>
      <c r="S25" s="1250"/>
      <c r="T25" s="1250"/>
      <c r="U25" s="1316"/>
      <c r="V25" s="1430"/>
      <c r="W25" s="1240"/>
      <c r="X25" s="1235"/>
      <c r="Y25" s="1247"/>
      <c r="Z25" s="1251"/>
      <c r="AA25" s="1250"/>
      <c r="AB25" s="1316"/>
      <c r="AC25" s="1317"/>
      <c r="AD25" s="1317"/>
      <c r="AE25" s="1317"/>
      <c r="AF25" s="1236"/>
      <c r="AG25" s="1236"/>
      <c r="AH25" s="1236"/>
      <c r="AI25" s="1236"/>
      <c r="AJ25" s="1236"/>
      <c r="AK25" s="1317"/>
      <c r="AL25" s="1317"/>
      <c r="AM25" s="1317"/>
      <c r="AN25" s="1317"/>
      <c r="AO25" s="1317"/>
      <c r="AP25" s="1317"/>
      <c r="AQ25" s="1317"/>
      <c r="AR25" s="1317"/>
      <c r="AS25" s="1316"/>
      <c r="AT25" s="1316"/>
      <c r="AU25" s="1316"/>
      <c r="AV25" s="1316"/>
      <c r="AW25" s="1316"/>
      <c r="AX25" s="1316"/>
      <c r="AY25" s="1316"/>
      <c r="AZ25" s="1316"/>
      <c r="BA25" s="1316"/>
      <c r="BB25" s="1316"/>
      <c r="BC25" s="1316"/>
      <c r="BD25" s="1316"/>
      <c r="BE25" s="1316"/>
      <c r="BF25" s="1316"/>
      <c r="BG25" s="1316"/>
      <c r="BH25" s="1316"/>
      <c r="BI25" s="1316"/>
      <c r="BJ25" s="1250"/>
      <c r="BK25" s="1251"/>
      <c r="BL25" s="1250"/>
      <c r="BM25" s="1257"/>
      <c r="BN25" s="1329"/>
      <c r="BO25" s="1329"/>
      <c r="BP25" s="1316"/>
      <c r="BQ25" s="1316"/>
      <c r="BR25" s="1316"/>
      <c r="BS25" s="1316"/>
      <c r="BT25" s="1318"/>
      <c r="BU25" s="1318"/>
      <c r="BV25" s="1428"/>
    </row>
    <row r="26" spans="1:78" ht="12.75" hidden="1" customHeight="1">
      <c r="C26" s="1293" t="s">
        <v>263</v>
      </c>
      <c r="D26" s="1292"/>
      <c r="E26" s="1279">
        <f t="shared" ref="E26:AD26" si="12">E24+2*E25</f>
        <v>0</v>
      </c>
      <c r="F26" s="1279">
        <f t="shared" si="12"/>
        <v>0</v>
      </c>
      <c r="G26" s="1277">
        <f t="shared" si="12"/>
        <v>0</v>
      </c>
      <c r="H26" s="1294">
        <f t="shared" si="12"/>
        <v>0</v>
      </c>
      <c r="I26" s="1294">
        <f t="shared" si="12"/>
        <v>0</v>
      </c>
      <c r="J26" s="1197">
        <f t="shared" si="12"/>
        <v>0</v>
      </c>
      <c r="K26" s="1197">
        <f t="shared" si="12"/>
        <v>0</v>
      </c>
      <c r="L26" s="1294">
        <f t="shared" si="12"/>
        <v>0</v>
      </c>
      <c r="M26" s="1294">
        <f t="shared" si="12"/>
        <v>0</v>
      </c>
      <c r="N26" s="1294">
        <f t="shared" si="12"/>
        <v>0</v>
      </c>
      <c r="O26" s="1294">
        <f t="shared" si="12"/>
        <v>0</v>
      </c>
      <c r="P26" s="1294">
        <f t="shared" si="12"/>
        <v>0</v>
      </c>
      <c r="Q26" s="1294">
        <f t="shared" si="12"/>
        <v>0</v>
      </c>
      <c r="R26" s="1294">
        <f t="shared" si="12"/>
        <v>0</v>
      </c>
      <c r="S26" s="1295">
        <f t="shared" si="12"/>
        <v>0</v>
      </c>
      <c r="T26" s="1295">
        <f t="shared" si="12"/>
        <v>0</v>
      </c>
      <c r="U26" s="1294">
        <f t="shared" si="12"/>
        <v>0</v>
      </c>
      <c r="V26" s="1346">
        <f t="shared" si="12"/>
        <v>0</v>
      </c>
      <c r="W26" s="1348">
        <f t="shared" si="12"/>
        <v>0</v>
      </c>
      <c r="X26" s="1346">
        <f t="shared" si="12"/>
        <v>0</v>
      </c>
      <c r="Y26" s="1348">
        <f t="shared" si="12"/>
        <v>0</v>
      </c>
      <c r="Z26" s="1277">
        <f t="shared" si="12"/>
        <v>0</v>
      </c>
      <c r="AA26" s="1296">
        <f t="shared" si="12"/>
        <v>0</v>
      </c>
      <c r="AB26" s="1277">
        <f t="shared" si="12"/>
        <v>0</v>
      </c>
      <c r="AC26" s="1277">
        <f t="shared" si="12"/>
        <v>0</v>
      </c>
      <c r="AD26" s="1277">
        <f t="shared" si="12"/>
        <v>0</v>
      </c>
      <c r="AE26" s="1277"/>
      <c r="AF26" s="1277">
        <f>AF24+2*AF25</f>
        <v>0</v>
      </c>
      <c r="AG26" s="1277">
        <f>AG24+2*AG25</f>
        <v>0</v>
      </c>
      <c r="AH26" s="1277">
        <f>AH24+2*AH25</f>
        <v>0</v>
      </c>
      <c r="AI26" s="1277">
        <f>AI24+2*AI25</f>
        <v>0</v>
      </c>
      <c r="AJ26" s="1277"/>
      <c r="AK26" s="1277">
        <f t="shared" ref="AK26:BS26" si="13">AK24+2*AK25</f>
        <v>0</v>
      </c>
      <c r="AL26" s="1277">
        <f t="shared" si="13"/>
        <v>0</v>
      </c>
      <c r="AM26" s="1277">
        <f t="shared" si="13"/>
        <v>0</v>
      </c>
      <c r="AN26" s="1277">
        <f t="shared" si="13"/>
        <v>0</v>
      </c>
      <c r="AO26" s="1277">
        <f t="shared" si="13"/>
        <v>0</v>
      </c>
      <c r="AP26" s="1277">
        <f t="shared" si="13"/>
        <v>0</v>
      </c>
      <c r="AQ26" s="1277">
        <f t="shared" si="13"/>
        <v>0</v>
      </c>
      <c r="AR26" s="1277">
        <f t="shared" si="13"/>
        <v>0</v>
      </c>
      <c r="AS26" s="1277">
        <f t="shared" si="13"/>
        <v>0</v>
      </c>
      <c r="AT26" s="1277">
        <f t="shared" si="13"/>
        <v>0</v>
      </c>
      <c r="AU26" s="1277">
        <f t="shared" si="13"/>
        <v>0</v>
      </c>
      <c r="AV26" s="1277">
        <f t="shared" si="13"/>
        <v>0</v>
      </c>
      <c r="AW26" s="1277">
        <f t="shared" si="13"/>
        <v>0</v>
      </c>
      <c r="AX26" s="1277">
        <f t="shared" si="13"/>
        <v>0</v>
      </c>
      <c r="AY26" s="1277">
        <f t="shared" si="13"/>
        <v>0</v>
      </c>
      <c r="AZ26" s="1277">
        <f t="shared" si="13"/>
        <v>0</v>
      </c>
      <c r="BA26" s="1277">
        <f t="shared" si="13"/>
        <v>0</v>
      </c>
      <c r="BB26" s="1277">
        <f t="shared" si="13"/>
        <v>0</v>
      </c>
      <c r="BC26" s="1277">
        <f t="shared" si="13"/>
        <v>0</v>
      </c>
      <c r="BD26" s="1277">
        <f t="shared" si="13"/>
        <v>0</v>
      </c>
      <c r="BE26" s="1277">
        <f t="shared" si="13"/>
        <v>0</v>
      </c>
      <c r="BF26" s="1277">
        <f t="shared" si="13"/>
        <v>0</v>
      </c>
      <c r="BG26" s="1291">
        <f t="shared" si="13"/>
        <v>0</v>
      </c>
      <c r="BH26" s="1291">
        <f t="shared" si="13"/>
        <v>0</v>
      </c>
      <c r="BI26" s="1291">
        <f t="shared" si="13"/>
        <v>0</v>
      </c>
      <c r="BJ26" s="1296">
        <f t="shared" si="13"/>
        <v>0</v>
      </c>
      <c r="BK26" s="1322">
        <f t="shared" si="13"/>
        <v>0</v>
      </c>
      <c r="BL26" s="1347">
        <f t="shared" si="13"/>
        <v>0</v>
      </c>
      <c r="BM26" s="1347">
        <f t="shared" si="13"/>
        <v>0</v>
      </c>
      <c r="BN26" s="1277">
        <f t="shared" si="13"/>
        <v>0</v>
      </c>
      <c r="BO26" s="1277">
        <f t="shared" si="13"/>
        <v>0</v>
      </c>
      <c r="BP26" s="1277">
        <f t="shared" si="13"/>
        <v>0</v>
      </c>
      <c r="BQ26" s="1277">
        <f t="shared" si="13"/>
        <v>0</v>
      </c>
      <c r="BR26" s="1277">
        <f t="shared" si="13"/>
        <v>0</v>
      </c>
      <c r="BS26" s="1277">
        <f t="shared" si="13"/>
        <v>0</v>
      </c>
      <c r="BT26" s="1277">
        <f>(BT24-ultimoDiaTrim)+2*BT25</f>
        <v>0</v>
      </c>
      <c r="BU26" s="1277">
        <f>BU24+2*BU25</f>
        <v>0</v>
      </c>
      <c r="BV26" s="1287">
        <f>BV24+2*BV25</f>
        <v>0</v>
      </c>
    </row>
    <row r="27" spans="1:78" ht="12.75" hidden="1" customHeight="1">
      <c r="C27" s="1293" t="s">
        <v>264</v>
      </c>
      <c r="D27" s="1292"/>
      <c r="E27" s="1279">
        <f t="shared" ref="E27:AD27" si="14">MIN(0,E24-2*E25)</f>
        <v>0</v>
      </c>
      <c r="F27" s="1279">
        <f t="shared" si="14"/>
        <v>0</v>
      </c>
      <c r="G27" s="1277">
        <f t="shared" si="14"/>
        <v>0</v>
      </c>
      <c r="H27" s="1277">
        <f t="shared" si="14"/>
        <v>0</v>
      </c>
      <c r="I27" s="1277">
        <f t="shared" si="14"/>
        <v>0</v>
      </c>
      <c r="J27" s="1198">
        <f t="shared" si="14"/>
        <v>0</v>
      </c>
      <c r="K27" s="1198">
        <f t="shared" si="14"/>
        <v>0</v>
      </c>
      <c r="L27" s="1277">
        <f t="shared" si="14"/>
        <v>0</v>
      </c>
      <c r="M27" s="1277">
        <f t="shared" si="14"/>
        <v>0</v>
      </c>
      <c r="N27" s="1277">
        <f t="shared" si="14"/>
        <v>0</v>
      </c>
      <c r="O27" s="1277">
        <f t="shared" si="14"/>
        <v>0</v>
      </c>
      <c r="P27" s="1277">
        <f t="shared" si="14"/>
        <v>0</v>
      </c>
      <c r="Q27" s="1277">
        <f t="shared" si="14"/>
        <v>0</v>
      </c>
      <c r="R27" s="1277">
        <f t="shared" si="14"/>
        <v>0</v>
      </c>
      <c r="S27" s="1296">
        <f t="shared" si="14"/>
        <v>0</v>
      </c>
      <c r="T27" s="1296">
        <f t="shared" si="14"/>
        <v>0</v>
      </c>
      <c r="U27" s="1277">
        <f t="shared" si="14"/>
        <v>0</v>
      </c>
      <c r="V27" s="1347">
        <f t="shared" si="14"/>
        <v>0</v>
      </c>
      <c r="W27" s="1278">
        <f t="shared" si="14"/>
        <v>0</v>
      </c>
      <c r="X27" s="1347">
        <f t="shared" si="14"/>
        <v>0</v>
      </c>
      <c r="Y27" s="1278">
        <f t="shared" si="14"/>
        <v>0</v>
      </c>
      <c r="Z27" s="1277">
        <f t="shared" si="14"/>
        <v>0</v>
      </c>
      <c r="AA27" s="1296">
        <f t="shared" si="14"/>
        <v>0</v>
      </c>
      <c r="AB27" s="1277">
        <f t="shared" si="14"/>
        <v>0</v>
      </c>
      <c r="AC27" s="1277">
        <f t="shared" si="14"/>
        <v>0</v>
      </c>
      <c r="AD27" s="1277">
        <f t="shared" si="14"/>
        <v>0</v>
      </c>
      <c r="AE27" s="1277"/>
      <c r="AF27" s="1277">
        <f>MIN(0,AF24-2*AF25)</f>
        <v>0</v>
      </c>
      <c r="AG27" s="1277">
        <f>MIN(0,AG24-2*AG25)</f>
        <v>0</v>
      </c>
      <c r="AH27" s="1277">
        <f>MIN(0,AH24-2*AH25)</f>
        <v>0</v>
      </c>
      <c r="AI27" s="1277">
        <f>MIN(0,AI24-2*AI25)</f>
        <v>0</v>
      </c>
      <c r="AJ27" s="1277"/>
      <c r="AK27" s="1277">
        <f t="shared" ref="AK27:BS27" si="15">MIN(0,AK24-2*AK25)</f>
        <v>0</v>
      </c>
      <c r="AL27" s="1277">
        <f t="shared" si="15"/>
        <v>0</v>
      </c>
      <c r="AM27" s="1277">
        <f t="shared" si="15"/>
        <v>0</v>
      </c>
      <c r="AN27" s="1277">
        <f t="shared" si="15"/>
        <v>0</v>
      </c>
      <c r="AO27" s="1277">
        <f t="shared" si="15"/>
        <v>0</v>
      </c>
      <c r="AP27" s="1277">
        <f t="shared" si="15"/>
        <v>0</v>
      </c>
      <c r="AQ27" s="1277">
        <f t="shared" si="15"/>
        <v>0</v>
      </c>
      <c r="AR27" s="1277">
        <f t="shared" si="15"/>
        <v>0</v>
      </c>
      <c r="AS27" s="1277">
        <f t="shared" si="15"/>
        <v>0</v>
      </c>
      <c r="AT27" s="1277">
        <f t="shared" si="15"/>
        <v>0</v>
      </c>
      <c r="AU27" s="1277">
        <f t="shared" si="15"/>
        <v>0</v>
      </c>
      <c r="AV27" s="1277">
        <f t="shared" si="15"/>
        <v>0</v>
      </c>
      <c r="AW27" s="1277">
        <f t="shared" si="15"/>
        <v>0</v>
      </c>
      <c r="AX27" s="1277">
        <f t="shared" si="15"/>
        <v>0</v>
      </c>
      <c r="AY27" s="1277">
        <f t="shared" si="15"/>
        <v>0</v>
      </c>
      <c r="AZ27" s="1277">
        <f t="shared" si="15"/>
        <v>0</v>
      </c>
      <c r="BA27" s="1277">
        <f t="shared" si="15"/>
        <v>0</v>
      </c>
      <c r="BB27" s="1277">
        <f t="shared" si="15"/>
        <v>0</v>
      </c>
      <c r="BC27" s="1277">
        <f t="shared" si="15"/>
        <v>0</v>
      </c>
      <c r="BD27" s="1277">
        <f t="shared" si="15"/>
        <v>0</v>
      </c>
      <c r="BE27" s="1277">
        <f t="shared" si="15"/>
        <v>0</v>
      </c>
      <c r="BF27" s="1277">
        <f t="shared" si="15"/>
        <v>0</v>
      </c>
      <c r="BG27" s="1291">
        <f t="shared" si="15"/>
        <v>0</v>
      </c>
      <c r="BH27" s="1291">
        <f t="shared" si="15"/>
        <v>0</v>
      </c>
      <c r="BI27" s="1291">
        <f t="shared" si="15"/>
        <v>0</v>
      </c>
      <c r="BJ27" s="1296">
        <f t="shared" si="15"/>
        <v>0</v>
      </c>
      <c r="BK27" s="1322">
        <f t="shared" si="15"/>
        <v>0</v>
      </c>
      <c r="BL27" s="1347">
        <f t="shared" si="15"/>
        <v>0</v>
      </c>
      <c r="BM27" s="1347">
        <f t="shared" si="15"/>
        <v>0</v>
      </c>
      <c r="BN27" s="1277">
        <f t="shared" si="15"/>
        <v>0</v>
      </c>
      <c r="BO27" s="1277">
        <f t="shared" si="15"/>
        <v>0</v>
      </c>
      <c r="BP27" s="1277">
        <f t="shared" si="15"/>
        <v>0</v>
      </c>
      <c r="BQ27" s="1277">
        <f t="shared" si="15"/>
        <v>0</v>
      </c>
      <c r="BR27" s="1277">
        <f t="shared" si="15"/>
        <v>0</v>
      </c>
      <c r="BS27" s="1277">
        <f t="shared" si="15"/>
        <v>0</v>
      </c>
      <c r="BT27" s="1277">
        <f>MIN(0,(BT24-ultimoDiaTrim)-2*BT25)</f>
        <v>0</v>
      </c>
      <c r="BU27" s="1277">
        <f>BU25+2*BU26</f>
        <v>0</v>
      </c>
      <c r="BV27" s="1287">
        <f>BV25+2*BV26</f>
        <v>0</v>
      </c>
    </row>
    <row r="28" spans="1:78">
      <c r="C28" s="1194"/>
      <c r="D28" s="1194"/>
    </row>
    <row r="31" spans="1:78">
      <c r="C31" s="1253" t="str">
        <f>Criterios!A4</f>
        <v>Fecha Informe: 18 jun. 2026</v>
      </c>
    </row>
    <row r="33" spans="3:4">
      <c r="C33" s="1297"/>
      <c r="D33" s="1297"/>
    </row>
  </sheetData>
  <sheetProtection algorithmName="SHA-512" hashValue="sjQq4GwwGZW6H7f85ZBq+z1veUBRusCtzqbgSHD+qqpx7yvPAFj4MihRsYWW7Hio70RXrz8itQBWrT3EuYQofA==" saltValue="cWpSf0mMb+nVd32sVNfjMQ==" spinCount="100000" sheet="1" objects="1" scenarios="1"/>
  <mergeCells count="73">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C5:BC7"/>
    <mergeCell ref="AR5:AR7"/>
    <mergeCell ref="AS5:AS7"/>
    <mergeCell ref="AT5:AT7"/>
    <mergeCell ref="AU5:AU7"/>
    <mergeCell ref="AV5:AV7"/>
    <mergeCell ref="AW5:AW7"/>
    <mergeCell ref="AX5:AX7"/>
    <mergeCell ref="AY5:AY7"/>
    <mergeCell ref="AZ5:AZ7"/>
    <mergeCell ref="BA5:BA7"/>
    <mergeCell ref="BB5:BB7"/>
    <mergeCell ref="BO5:BO7"/>
    <mergeCell ref="BD5:BD7"/>
    <mergeCell ref="BE5:BE7"/>
    <mergeCell ref="BF5:BF7"/>
    <mergeCell ref="BG5:BG7"/>
    <mergeCell ref="BH5:BH7"/>
    <mergeCell ref="BI5:BI7"/>
    <mergeCell ref="BJ5:BJ7"/>
    <mergeCell ref="BK5:BK7"/>
    <mergeCell ref="BL5:BL7"/>
    <mergeCell ref="BM5:BM7"/>
    <mergeCell ref="BN5:BN7"/>
    <mergeCell ref="BV5:BV7"/>
    <mergeCell ref="BP5:BP7"/>
    <mergeCell ref="BQ5:BQ7"/>
    <mergeCell ref="BR5:BR7"/>
    <mergeCell ref="BS5:BS7"/>
    <mergeCell ref="BT5:BT7"/>
    <mergeCell ref="BU5:BU7"/>
  </mergeCells>
  <conditionalFormatting sqref="E15:E18 E9:E12">
    <cfRule type="cellIs" dxfId="529" priority="20" stopIfTrue="1" operator="notBetween">
      <formula>$E$26</formula>
      <formula>$E$27</formula>
    </cfRule>
  </conditionalFormatting>
  <conditionalFormatting sqref="F9:F12 F15:F18">
    <cfRule type="expression" dxfId="528" priority="63" stopIfTrue="1">
      <formula>IF(F9&lt;&gt;G9,TRUE,FALSE)</formula>
    </cfRule>
  </conditionalFormatting>
  <conditionalFormatting sqref="F9:F12 F15:F18">
    <cfRule type="cellIs" dxfId="527" priority="19" stopIfTrue="1" operator="notBetween">
      <formula>$F$26</formula>
      <formula>$F$27</formula>
    </cfRule>
  </conditionalFormatting>
  <conditionalFormatting sqref="G10 G15:G18">
    <cfRule type="cellIs" dxfId="526" priority="64" stopIfTrue="1" operator="notBetween">
      <formula>$G$26</formula>
      <formula>$G$27</formula>
    </cfRule>
  </conditionalFormatting>
  <conditionalFormatting sqref="H15:H18 H9:H12">
    <cfRule type="cellIs" dxfId="525" priority="58" stopIfTrue="1" operator="notBetween">
      <formula>$H$26</formula>
      <formula>$H$27</formula>
    </cfRule>
  </conditionalFormatting>
  <conditionalFormatting sqref="I15:I18 I9:I12">
    <cfRule type="cellIs" dxfId="524" priority="65" stopIfTrue="1" operator="notBetween">
      <formula>$I$26</formula>
      <formula>$I$27</formula>
    </cfRule>
  </conditionalFormatting>
  <conditionalFormatting sqref="I11:I12">
    <cfRule type="cellIs" dxfId="523" priority="68" stopIfTrue="1" operator="greaterThan">
      <formula>#REF!</formula>
    </cfRule>
    <cfRule type="cellIs" dxfId="522" priority="69" stopIfTrue="1" operator="lessThan">
      <formula>#REF!</formula>
    </cfRule>
  </conditionalFormatting>
  <conditionalFormatting sqref="J9:K12">
    <cfRule type="cellIs" dxfId="521" priority="22" stopIfTrue="1" operator="notBetween">
      <formula>$K$26</formula>
      <formula>$K$27</formula>
    </cfRule>
  </conditionalFormatting>
  <conditionalFormatting sqref="J15:K18">
    <cfRule type="cellIs" dxfId="520" priority="29" stopIfTrue="1" operator="notBetween">
      <formula>$K$26</formula>
      <formula>$K$27</formula>
    </cfRule>
  </conditionalFormatting>
  <conditionalFormatting sqref="L15:L18 L9:L12">
    <cfRule type="cellIs" dxfId="519" priority="61" stopIfTrue="1" operator="notBetween">
      <formula>$L$26</formula>
      <formula>$L$27</formula>
    </cfRule>
  </conditionalFormatting>
  <conditionalFormatting sqref="N15:N18 N9:N12">
    <cfRule type="cellIs" dxfId="518" priority="28" stopIfTrue="1" operator="notBetween">
      <formula>$N$26</formula>
      <formula>$N$27</formula>
    </cfRule>
  </conditionalFormatting>
  <conditionalFormatting sqref="O15:O18 O9:O12">
    <cfRule type="cellIs" dxfId="517" priority="60" stopIfTrue="1" operator="notBetween">
      <formula>$O$26</formula>
      <formula>$O$27</formula>
    </cfRule>
  </conditionalFormatting>
  <conditionalFormatting sqref="Q15:Q18 Q9:Q12">
    <cfRule type="cellIs" dxfId="516" priority="30" stopIfTrue="1" operator="notBetween">
      <formula>$Q$26</formula>
      <formula>$Q$27</formula>
    </cfRule>
  </conditionalFormatting>
  <conditionalFormatting sqref="R15:R18 R9:R12">
    <cfRule type="cellIs" dxfId="515" priority="59" stopIfTrue="1" operator="notBetween">
      <formula>$R$26</formula>
      <formula>$R$27</formula>
    </cfRule>
  </conditionalFormatting>
  <conditionalFormatting sqref="T15:T18 T9:T12">
    <cfRule type="cellIs" dxfId="514" priority="57" stopIfTrue="1" operator="notBetween">
      <formula>$T$26</formula>
      <formula>$T$27</formula>
    </cfRule>
  </conditionalFormatting>
  <conditionalFormatting sqref="U15:U18 U9:U12">
    <cfRule type="cellIs" dxfId="513" priority="56" stopIfTrue="1" operator="notBetween">
      <formula>$U$26</formula>
      <formula>$U$27</formula>
    </cfRule>
  </conditionalFormatting>
  <conditionalFormatting sqref="V15:V18 V9:V12">
    <cfRule type="cellIs" dxfId="512" priority="55" stopIfTrue="1" operator="notBetween">
      <formula>$V$26</formula>
      <formula>$V$27</formula>
    </cfRule>
  </conditionalFormatting>
  <conditionalFormatting sqref="W9">
    <cfRule type="cellIs" dxfId="511" priority="79" stopIfTrue="1" operator="greaterThan">
      <formula>$BV$9*$E$9</formula>
    </cfRule>
    <cfRule type="cellIs" dxfId="510" priority="80" stopIfTrue="1" operator="lessThan">
      <formula>$BV$9*$E$9</formula>
    </cfRule>
  </conditionalFormatting>
  <conditionalFormatting sqref="W10">
    <cfRule type="cellIs" dxfId="509" priority="83" stopIfTrue="1" operator="greaterThan">
      <formula>$BV$10*$E$10</formula>
    </cfRule>
    <cfRule type="cellIs" dxfId="508" priority="84" stopIfTrue="1" operator="lessThan">
      <formula>$BV$10*$E$10</formula>
    </cfRule>
  </conditionalFormatting>
  <conditionalFormatting sqref="W11">
    <cfRule type="cellIs" dxfId="507" priority="87" stopIfTrue="1" operator="greaterThan">
      <formula>$BV$11*$E$11</formula>
    </cfRule>
    <cfRule type="cellIs" dxfId="506" priority="88" stopIfTrue="1" operator="lessThan">
      <formula>$BV$11*$E$11</formula>
    </cfRule>
  </conditionalFormatting>
  <conditionalFormatting sqref="W12">
    <cfRule type="cellIs" dxfId="505" priority="89" stopIfTrue="1" operator="greaterThan">
      <formula>$BV$12*$E$12</formula>
    </cfRule>
    <cfRule type="cellIs" dxfId="504" priority="90" stopIfTrue="1" operator="lessThan">
      <formula>$BV$12*$E$12</formula>
    </cfRule>
  </conditionalFormatting>
  <conditionalFormatting sqref="W15:W16">
    <cfRule type="cellIs" dxfId="503" priority="103" stopIfTrue="1" operator="greaterThan">
      <formula>$BV$15*$E$15</formula>
    </cfRule>
    <cfRule type="cellIs" dxfId="502" priority="104" stopIfTrue="1" operator="lessThan">
      <formula>$BV$15*$E$15</formula>
    </cfRule>
  </conditionalFormatting>
  <conditionalFormatting sqref="W17">
    <cfRule type="cellIs" dxfId="501" priority="105" stopIfTrue="1" operator="greaterThan">
      <formula>$BV$17*$E$17</formula>
    </cfRule>
    <cfRule type="cellIs" dxfId="500" priority="106" stopIfTrue="1" operator="lessThan">
      <formula>$BV$17*$E$17</formula>
    </cfRule>
  </conditionalFormatting>
  <conditionalFormatting sqref="W18">
    <cfRule type="cellIs" dxfId="499" priority="107" stopIfTrue="1" operator="greaterThan">
      <formula>$BV$18*$E$18</formula>
    </cfRule>
    <cfRule type="cellIs" dxfId="498" priority="108" stopIfTrue="1" operator="lessThan">
      <formula>$BV$18*$E$18</formula>
    </cfRule>
  </conditionalFormatting>
  <conditionalFormatting sqref="Y15:Y18 Y9:Y12">
    <cfRule type="cellIs" dxfId="497" priority="54" stopIfTrue="1" operator="notBetween">
      <formula>$Y$26</formula>
      <formula>$Y$27</formula>
    </cfRule>
  </conditionalFormatting>
  <conditionalFormatting sqref="Z15:Z18 Z9:Z12">
    <cfRule type="cellIs" dxfId="496" priority="53" stopIfTrue="1" operator="notBetween">
      <formula>$Z$26</formula>
      <formula>$Z$27</formula>
    </cfRule>
  </conditionalFormatting>
  <conditionalFormatting sqref="AA15:AA18 AA9:AA12">
    <cfRule type="cellIs" dxfId="495" priority="52" stopIfTrue="1" operator="notBetween">
      <formula>$AA$26</formula>
      <formula>$AA$27</formula>
    </cfRule>
  </conditionalFormatting>
  <conditionalFormatting sqref="AB15:AB18 AB9:AB12">
    <cfRule type="cellIs" dxfId="494" priority="18" stopIfTrue="1" operator="notBetween">
      <formula>$AB$26</formula>
      <formula>$AB$27</formula>
    </cfRule>
  </conditionalFormatting>
  <conditionalFormatting sqref="AC15:AC18 AC9:AC12">
    <cfRule type="cellIs" dxfId="493" priority="21" stopIfTrue="1" operator="notBetween">
      <formula>$AC$26</formula>
      <formula>$AC$27</formula>
    </cfRule>
  </conditionalFormatting>
  <conditionalFormatting sqref="AD15:AE18 AD9:AE12">
    <cfRule type="cellIs" dxfId="492" priority="26" stopIfTrue="1" operator="notBetween">
      <formula>$AD$26</formula>
      <formula>$AD$27</formula>
    </cfRule>
  </conditionalFormatting>
  <conditionalFormatting sqref="AF15:AF18 AF9:AF12">
    <cfRule type="cellIs" dxfId="491" priority="17" stopIfTrue="1" operator="notBetween">
      <formula>$AF$26</formula>
      <formula>$AF$27</formula>
    </cfRule>
  </conditionalFormatting>
  <conditionalFormatting sqref="AH15:AH18 AH9:AH12">
    <cfRule type="cellIs" dxfId="490" priority="25" stopIfTrue="1" operator="notBetween">
      <formula>$AH$26</formula>
      <formula>$AH$27</formula>
    </cfRule>
  </conditionalFormatting>
  <conditionalFormatting sqref="AI15:AJ18 AI9:AJ12">
    <cfRule type="cellIs" dxfId="489" priority="24" stopIfTrue="1" operator="notBetween">
      <formula>$AI$26</formula>
      <formula>$AI$27</formula>
    </cfRule>
  </conditionalFormatting>
  <conditionalFormatting sqref="AK15:AK18 AK9:AK12">
    <cfRule type="cellIs" dxfId="488" priority="51" stopIfTrue="1" operator="notBetween">
      <formula>$AK$26</formula>
      <formula>$AK$27</formula>
    </cfRule>
  </conditionalFormatting>
  <conditionalFormatting sqref="AL15:AL18 AL9:AL12">
    <cfRule type="cellIs" dxfId="487" priority="50" stopIfTrue="1" operator="notBetween">
      <formula>$AL$26</formula>
      <formula>$AL$27</formula>
    </cfRule>
  </conditionalFormatting>
  <conditionalFormatting sqref="AM15:AM18 AM9:AM12">
    <cfRule type="cellIs" dxfId="486" priority="16" stopIfTrue="1" operator="notBetween">
      <formula>$AM$26</formula>
      <formula>$AM$27</formula>
    </cfRule>
  </conditionalFormatting>
  <conditionalFormatting sqref="AR15:AR18 AR9:AR12">
    <cfRule type="cellIs" dxfId="485" priority="23" stopIfTrue="1" operator="notBetween">
      <formula>$AR$26</formula>
      <formula>$AR$27</formula>
    </cfRule>
  </conditionalFormatting>
  <conditionalFormatting sqref="AS15:AS18 AS9:AS12">
    <cfRule type="cellIs" dxfId="484" priority="15" stopIfTrue="1" operator="notBetween">
      <formula>$AS$26</formula>
      <formula>$AS$27</formula>
    </cfRule>
  </conditionalFormatting>
  <conditionalFormatting sqref="AT15:AT18 AT9:AT12">
    <cfRule type="cellIs" dxfId="483" priority="14" stopIfTrue="1" operator="notBetween">
      <formula>$AT$26</formula>
      <formula>$AT$27</formula>
    </cfRule>
  </conditionalFormatting>
  <conditionalFormatting sqref="AU15:AU18 AU9:AU12">
    <cfRule type="cellIs" dxfId="482" priority="13" stopIfTrue="1" operator="notBetween">
      <formula>$AU$26</formula>
      <formula>$AU$27</formula>
    </cfRule>
  </conditionalFormatting>
  <conditionalFormatting sqref="AV15:AV18 AV9:AV12">
    <cfRule type="cellIs" dxfId="481" priority="12" stopIfTrue="1" operator="notBetween">
      <formula>$AV$26</formula>
      <formula>$AV$27</formula>
    </cfRule>
  </conditionalFormatting>
  <conditionalFormatting sqref="AW15:AW18 AW9:AW12">
    <cfRule type="cellIs" dxfId="480" priority="46" stopIfTrue="1" operator="notBetween">
      <formula>$AW$26</formula>
      <formula>$AW$27</formula>
    </cfRule>
  </conditionalFormatting>
  <conditionalFormatting sqref="AX15:AX18 AX9:AX12">
    <cfRule type="cellIs" dxfId="479" priority="45" stopIfTrue="1" operator="notBetween">
      <formula>$AX$26</formula>
      <formula>$AX$27</formula>
    </cfRule>
  </conditionalFormatting>
  <conditionalFormatting sqref="AY15:AY18 AY9:AY12">
    <cfRule type="cellIs" dxfId="478" priority="44" stopIfTrue="1" operator="notBetween">
      <formula>$AY$26</formula>
      <formula>$AY$27</formula>
    </cfRule>
  </conditionalFormatting>
  <conditionalFormatting sqref="AZ15:AZ18 AZ9:AZ12">
    <cfRule type="cellIs" dxfId="477" priority="43" stopIfTrue="1" operator="notBetween">
      <formula>$AZ$26</formula>
      <formula>$AZ$27</formula>
    </cfRule>
  </conditionalFormatting>
  <conditionalFormatting sqref="BA15:BA18 BA9:BA12">
    <cfRule type="cellIs" dxfId="476" priority="42" stopIfTrue="1" operator="notBetween">
      <formula>$BA$26</formula>
      <formula>$BA$27</formula>
    </cfRule>
  </conditionalFormatting>
  <conditionalFormatting sqref="BB15:BB18 BB9:BB12">
    <cfRule type="cellIs" dxfId="475" priority="41" stopIfTrue="1" operator="notBetween">
      <formula>$BB$26</formula>
      <formula>$BB$27</formula>
    </cfRule>
  </conditionalFormatting>
  <conditionalFormatting sqref="BC15:BC18 BC9:BC12">
    <cfRule type="cellIs" dxfId="474" priority="7" stopIfTrue="1" operator="notBetween">
      <formula>$BC$26</formula>
      <formula>$BC$27</formula>
    </cfRule>
  </conditionalFormatting>
  <conditionalFormatting sqref="BD15:BD18 BD9:BD12">
    <cfRule type="cellIs" dxfId="473" priority="11" stopIfTrue="1" operator="notBetween">
      <formula>$BD$26</formula>
      <formula>$BD$27</formula>
    </cfRule>
  </conditionalFormatting>
  <conditionalFormatting sqref="BE15:BE18 BE9:BE12">
    <cfRule type="cellIs" dxfId="472" priority="40" stopIfTrue="1" operator="notBetween">
      <formula>$BE$26</formula>
      <formula>$BE$27</formula>
    </cfRule>
  </conditionalFormatting>
  <conditionalFormatting sqref="BF15:BF18 BF9:BF12">
    <cfRule type="cellIs" dxfId="471" priority="39" stopIfTrue="1" operator="notBetween">
      <formula>$BF$26</formula>
      <formula>$BF$27</formula>
    </cfRule>
  </conditionalFormatting>
  <conditionalFormatting sqref="BG15:BG18 BG9:BG12">
    <cfRule type="cellIs" dxfId="470" priority="10" stopIfTrue="1" operator="notBetween">
      <formula>$BG$26</formula>
      <formula>$BG$27</formula>
    </cfRule>
  </conditionalFormatting>
  <conditionalFormatting sqref="BH15:BH18 BH9:BH12">
    <cfRule type="cellIs" dxfId="469" priority="9" stopIfTrue="1" operator="notBetween">
      <formula>$BH$26</formula>
      <formula>$BH$27</formula>
    </cfRule>
  </conditionalFormatting>
  <conditionalFormatting sqref="BI15:BI18 BI9:BI12">
    <cfRule type="cellIs" dxfId="468" priority="38" stopIfTrue="1" operator="notBetween">
      <formula>$BI$26</formula>
      <formula>$BI$27</formula>
    </cfRule>
  </conditionalFormatting>
  <conditionalFormatting sqref="BJ15:BJ18 BJ9:BJ12">
    <cfRule type="cellIs" dxfId="467" priority="37" stopIfTrue="1" operator="notBetween">
      <formula>$BJ$26</formula>
      <formula>$BJ$27</formula>
    </cfRule>
  </conditionalFormatting>
  <conditionalFormatting sqref="BK15:BK18 BK9:BK12">
    <cfRule type="cellIs" dxfId="466" priority="36" stopIfTrue="1" operator="notBetween">
      <formula>$BK$26</formula>
      <formula>$BK$27</formula>
    </cfRule>
  </conditionalFormatting>
  <conditionalFormatting sqref="BL15:BL18 BL9:BL12">
    <cfRule type="cellIs" dxfId="465" priority="8" stopIfTrue="1" operator="notBetween">
      <formula>$BL$26</formula>
      <formula>$BL$27</formula>
    </cfRule>
  </conditionalFormatting>
  <conditionalFormatting sqref="BM15:BM18 BM9:BM12">
    <cfRule type="cellIs" dxfId="464" priority="35" stopIfTrue="1" operator="notBetween">
      <formula>$BM$26</formula>
      <formula>$BM$27</formula>
    </cfRule>
  </conditionalFormatting>
  <conditionalFormatting sqref="BN15:BN18 BN9:BN12">
    <cfRule type="cellIs" dxfId="463" priority="34" stopIfTrue="1" operator="notBetween">
      <formula>$BN$26</formula>
      <formula>$BN$27</formula>
    </cfRule>
  </conditionalFormatting>
  <conditionalFormatting sqref="BO15:BO18 BO9:BO12">
    <cfRule type="cellIs" dxfId="462" priority="33" stopIfTrue="1" operator="notBetween">
      <formula>$BO$26</formula>
      <formula>$BO$27</formula>
    </cfRule>
  </conditionalFormatting>
  <conditionalFormatting sqref="BP15:BP18 BP9:BP12">
    <cfRule type="cellIs" dxfId="461" priority="2" stopIfTrue="1" operator="notBetween">
      <formula>$BP$26</formula>
      <formula>$BP$27</formula>
    </cfRule>
  </conditionalFormatting>
  <conditionalFormatting sqref="BQ15:BQ18 BQ9:BQ12">
    <cfRule type="cellIs" dxfId="460" priority="32" stopIfTrue="1" operator="notBetween">
      <formula>$BQ$26</formula>
      <formula>$BQ$27</formula>
    </cfRule>
  </conditionalFormatting>
  <conditionalFormatting sqref="BR15:BR18 BR9:BR12">
    <cfRule type="cellIs" dxfId="459" priority="1" stopIfTrue="1" operator="notBetween">
      <formula>$BR$26</formula>
      <formula>$BR$27</formula>
    </cfRule>
  </conditionalFormatting>
  <conditionalFormatting sqref="BS15:BS18 BS9:BS12">
    <cfRule type="cellIs" dxfId="458" priority="31" stopIfTrue="1" operator="notBetween">
      <formula>$BS$26</formula>
      <formula>$BS$27</formula>
    </cfRule>
  </conditionalFormatting>
  <conditionalFormatting sqref="BT9:BT12 BT15:BT18">
    <cfRule type="expression" dxfId="457" priority="5938" stopIfTrue="1">
      <formula>NOT(AND($BT9-ultimoDiaTrim&gt;=$BT$27,$BT9-ultimoDiaTrim&lt;=$BT$26))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4"/>
  <sheetViews>
    <sheetView topLeftCell="C1" zoomScale="85" zoomScaleNormal="85" workbookViewId="0">
      <selection activeCell="C25" sqref="A25:XFD25"/>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6"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6"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1" hidden="1" customWidth="1"/>
    <col min="79" max="16384" width="11.42578125" style="470"/>
  </cols>
  <sheetData>
    <row r="1" spans="1:78">
      <c r="C1" s="527" t="str">
        <f>Criterios!A9 &amp;"  "&amp;Criterios!B9</f>
        <v>Tribunales de Justicia  ANDALUCIA</v>
      </c>
    </row>
    <row r="2" spans="1:78" ht="16.5" customHeight="1">
      <c r="C2" s="527" t="str">
        <f>Criterios!A10 &amp;"  "&amp;Criterios!B10 &amp; "  " &amp; IF(NOT(ISBLANK(Criterios!A11)),Criterios!A11 &amp;"  "&amp;Criterios!B11,"")</f>
        <v>Provincias  CADIZ  Resumenes por Partidos Judiciales  SAN ROQUE</v>
      </c>
      <c r="D2" s="487"/>
      <c r="E2" s="487"/>
      <c r="F2" s="488"/>
      <c r="G2" s="489"/>
      <c r="H2" s="488"/>
      <c r="I2" s="488"/>
      <c r="J2" s="261"/>
      <c r="K2" s="602"/>
      <c r="L2" s="602"/>
      <c r="M2" s="602"/>
      <c r="N2" s="488"/>
      <c r="O2" s="488"/>
      <c r="P2" s="490"/>
      <c r="Q2" s="490"/>
      <c r="R2" s="581"/>
      <c r="S2" s="490"/>
      <c r="V2" s="602"/>
    </row>
    <row r="3" spans="1:78" ht="25.5" customHeight="1">
      <c r="C3" s="1107"/>
      <c r="D3" s="492"/>
      <c r="E3" s="492"/>
      <c r="G3" s="489"/>
      <c r="H3" s="488"/>
      <c r="I3" s="488"/>
      <c r="K3" s="602"/>
      <c r="L3" s="602"/>
      <c r="M3" s="602"/>
      <c r="N3" s="488"/>
      <c r="O3" s="488"/>
      <c r="P3" s="490"/>
      <c r="Q3" s="490"/>
      <c r="R3" s="581"/>
      <c r="BZ3" s="470"/>
    </row>
    <row r="4" spans="1:78" ht="18.75" customHeight="1" thickBot="1">
      <c r="C4" s="1108"/>
      <c r="D4" s="493"/>
      <c r="E4" s="493"/>
      <c r="F4" s="494"/>
      <c r="G4" s="494"/>
      <c r="H4" s="494"/>
      <c r="I4" s="494"/>
      <c r="J4" s="329"/>
      <c r="K4" s="602"/>
      <c r="L4" s="602"/>
      <c r="M4" s="602"/>
      <c r="N4" s="494"/>
      <c r="O4" s="494"/>
      <c r="P4" s="490"/>
      <c r="Q4" s="490"/>
      <c r="R4" s="581"/>
      <c r="S4" s="490"/>
      <c r="V4" s="602"/>
      <c r="BU4" s="494"/>
      <c r="BZ4" s="470"/>
    </row>
    <row r="5" spans="1:78" ht="15.75" customHeight="1">
      <c r="A5" s="1542" t="s">
        <v>352</v>
      </c>
      <c r="B5" s="271"/>
      <c r="C5" s="1812" t="str">
        <f>"Año:  " &amp;Criterios!B$5 &amp; "          Trimestre   " &amp;Criterios!D$5 &amp; " al " &amp;Criterios!D$6</f>
        <v>Año:  2026          Trimestre   1 al 1</v>
      </c>
      <c r="D5" s="1814" t="s">
        <v>377</v>
      </c>
      <c r="E5" s="1774" t="s">
        <v>552</v>
      </c>
      <c r="F5" s="1809" t="s">
        <v>407</v>
      </c>
      <c r="G5" s="1774" t="s">
        <v>130</v>
      </c>
      <c r="H5" s="1774" t="s">
        <v>582</v>
      </c>
      <c r="I5" s="1774" t="s">
        <v>553</v>
      </c>
      <c r="J5" s="1774" t="s">
        <v>675</v>
      </c>
      <c r="K5" s="1774" t="s">
        <v>554</v>
      </c>
      <c r="L5" s="1774" t="s">
        <v>580</v>
      </c>
      <c r="M5" s="1774" t="s">
        <v>676</v>
      </c>
      <c r="N5" s="1774" t="s">
        <v>579</v>
      </c>
      <c r="O5" s="1774" t="s">
        <v>606</v>
      </c>
      <c r="P5" s="1792" t="s">
        <v>668</v>
      </c>
      <c r="Q5" s="1792" t="s">
        <v>670</v>
      </c>
      <c r="R5" s="1774" t="s">
        <v>586</v>
      </c>
      <c r="S5" s="1774" t="s">
        <v>555</v>
      </c>
      <c r="T5" s="1774" t="s">
        <v>754</v>
      </c>
      <c r="U5" s="1774" t="s">
        <v>755</v>
      </c>
      <c r="V5" s="1795" t="s">
        <v>659</v>
      </c>
      <c r="W5" s="1798" t="s">
        <v>568</v>
      </c>
      <c r="X5" s="1801" t="s">
        <v>569</v>
      </c>
      <c r="Y5" s="1789" t="s">
        <v>587</v>
      </c>
      <c r="Z5" s="1789" t="s">
        <v>607</v>
      </c>
      <c r="AA5" s="1774" t="s">
        <v>559</v>
      </c>
      <c r="AB5" s="1774" t="s">
        <v>570</v>
      </c>
      <c r="AC5" s="1774" t="s">
        <v>571</v>
      </c>
      <c r="AD5" s="1774" t="s">
        <v>525</v>
      </c>
      <c r="AE5" s="1774" t="s">
        <v>677</v>
      </c>
      <c r="AF5" s="1774" t="s">
        <v>183</v>
      </c>
      <c r="AG5" s="1774" t="s">
        <v>572</v>
      </c>
      <c r="AH5" s="1774" t="s">
        <v>560</v>
      </c>
      <c r="AI5" s="1774" t="s">
        <v>561</v>
      </c>
      <c r="AJ5" s="1774" t="s">
        <v>573</v>
      </c>
      <c r="AK5" s="1774" t="s">
        <v>574</v>
      </c>
      <c r="AL5" s="1774" t="s">
        <v>575</v>
      </c>
      <c r="AM5" s="1786" t="s">
        <v>576</v>
      </c>
      <c r="AN5" s="1774" t="s">
        <v>250</v>
      </c>
      <c r="AO5" s="1774" t="s">
        <v>563</v>
      </c>
      <c r="AP5" s="1774" t="s">
        <v>564</v>
      </c>
      <c r="AQ5" s="1774" t="s">
        <v>588</v>
      </c>
      <c r="AR5" s="1774" t="s">
        <v>589</v>
      </c>
      <c r="AS5" s="1774" t="s">
        <v>591</v>
      </c>
      <c r="AT5" s="1774" t="s">
        <v>584</v>
      </c>
      <c r="AU5" s="1774" t="s">
        <v>795</v>
      </c>
      <c r="AV5" s="1774" t="s">
        <v>334</v>
      </c>
      <c r="AW5" s="1774" t="s">
        <v>577</v>
      </c>
      <c r="AX5" s="1774" t="s">
        <v>530</v>
      </c>
      <c r="BU5" s="1774" t="s">
        <v>756</v>
      </c>
      <c r="BZ5" s="470"/>
    </row>
    <row r="6" spans="1:78" ht="21.75" customHeight="1">
      <c r="A6" s="1543"/>
      <c r="B6" s="272"/>
      <c r="C6" s="1813"/>
      <c r="D6" s="1815"/>
      <c r="E6" s="1775"/>
      <c r="F6" s="1810"/>
      <c r="G6" s="1775"/>
      <c r="H6" s="1775"/>
      <c r="I6" s="1775"/>
      <c r="J6" s="1775"/>
      <c r="K6" s="1775"/>
      <c r="L6" s="1775"/>
      <c r="M6" s="1775"/>
      <c r="N6" s="1775"/>
      <c r="O6" s="1775"/>
      <c r="P6" s="1793"/>
      <c r="Q6" s="1793"/>
      <c r="R6" s="1775"/>
      <c r="S6" s="1775"/>
      <c r="T6" s="1775"/>
      <c r="U6" s="1775"/>
      <c r="V6" s="1796"/>
      <c r="W6" s="1799"/>
      <c r="X6" s="1802"/>
      <c r="Y6" s="1790"/>
      <c r="Z6" s="1790"/>
      <c r="AA6" s="1775"/>
      <c r="AB6" s="1775"/>
      <c r="AC6" s="1775"/>
      <c r="AD6" s="1775"/>
      <c r="AE6" s="1775"/>
      <c r="AF6" s="1775"/>
      <c r="AG6" s="1775"/>
      <c r="AH6" s="1775"/>
      <c r="AI6" s="1775"/>
      <c r="AJ6" s="1775"/>
      <c r="AK6" s="1775"/>
      <c r="AL6" s="1775"/>
      <c r="AM6" s="1787"/>
      <c r="AN6" s="1775"/>
      <c r="AO6" s="1775"/>
      <c r="AP6" s="1775"/>
      <c r="AQ6" s="1775"/>
      <c r="AR6" s="1775"/>
      <c r="AS6" s="1775"/>
      <c r="AT6" s="1775"/>
      <c r="AU6" s="1775"/>
      <c r="AV6" s="1775"/>
      <c r="AW6" s="1775"/>
      <c r="AX6" s="1775"/>
      <c r="BU6" s="1775"/>
      <c r="BZ6" s="470"/>
    </row>
    <row r="7" spans="1:78" ht="38.25" customHeight="1" thickBot="1">
      <c r="A7" s="1544"/>
      <c r="B7" s="273"/>
      <c r="C7" s="528" t="str">
        <f>Datos!A7</f>
        <v>COMPETENCIAS</v>
      </c>
      <c r="D7" s="1816"/>
      <c r="E7" s="1776"/>
      <c r="F7" s="1811"/>
      <c r="G7" s="1776"/>
      <c r="H7" s="1776"/>
      <c r="I7" s="1776"/>
      <c r="J7" s="1776"/>
      <c r="K7" s="1776"/>
      <c r="L7" s="1776"/>
      <c r="M7" s="1776"/>
      <c r="N7" s="1776"/>
      <c r="O7" s="1776"/>
      <c r="P7" s="1794"/>
      <c r="Q7" s="1794"/>
      <c r="R7" s="1776"/>
      <c r="S7" s="1776"/>
      <c r="T7" s="1776"/>
      <c r="U7" s="1776"/>
      <c r="V7" s="1797"/>
      <c r="W7" s="1800"/>
      <c r="X7" s="1803"/>
      <c r="Y7" s="1791"/>
      <c r="Z7" s="1791"/>
      <c r="AA7" s="1776"/>
      <c r="AB7" s="1776"/>
      <c r="AC7" s="1776"/>
      <c r="AD7" s="1776"/>
      <c r="AE7" s="1776"/>
      <c r="AF7" s="1776"/>
      <c r="AG7" s="1776"/>
      <c r="AH7" s="1776"/>
      <c r="AI7" s="1776"/>
      <c r="AJ7" s="1776"/>
      <c r="AK7" s="1776"/>
      <c r="AL7" s="1776"/>
      <c r="AM7" s="1788"/>
      <c r="AN7" s="1776"/>
      <c r="AO7" s="1776"/>
      <c r="AP7" s="1776"/>
      <c r="AQ7" s="1776"/>
      <c r="AR7" s="1776"/>
      <c r="AS7" s="1776"/>
      <c r="AT7" s="1776"/>
      <c r="AU7" s="1776"/>
      <c r="AV7" s="1776"/>
      <c r="AW7" s="1776"/>
      <c r="AX7" s="1776"/>
      <c r="BU7" s="177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590</v>
      </c>
      <c r="B9" s="500" t="s">
        <v>247</v>
      </c>
      <c r="C9" s="159" t="str">
        <f>Datos!A9</f>
        <v>Sección Civil del T.I</v>
      </c>
      <c r="D9" s="501"/>
      <c r="E9" s="1163">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5"/>
      <c r="Q9" s="1115"/>
      <c r="R9" s="483" t="str">
        <f>IF(ISNUMBER(Datos!AS9),Datos!AS9," - ")</f>
        <v xml:space="preserve"> - </v>
      </c>
      <c r="S9" s="480" t="str">
        <f>IF(ISNUMBER(R9/(Datos!BM9/factor_trimestre)),R9/(Datos!BM9/factor_trimestre)," - ")</f>
        <v xml:space="preserve"> - </v>
      </c>
      <c r="T9" s="225" t="str">
        <f>IF(ISNUMBER(Datos!EO9),Datos!EO9," - ")</f>
        <v xml:space="preserve"> - </v>
      </c>
      <c r="U9" s="986" t="e">
        <f>(T9/Datos!ER9)*factor_trimestre</f>
        <v>#VALUE!</v>
      </c>
      <c r="V9" s="483" t="str">
        <f>IF(ISNUMBER(Datos!CB9),Datos!CB9," - ")</f>
        <v xml:space="preserve"> - </v>
      </c>
      <c r="W9" s="224">
        <f>IF(ISNUMBER(Datos!BY9+Datos!BZ9*0.86),Datos!BY9+Datos!BZ9*0.86," - ")</f>
        <v>0</v>
      </c>
      <c r="X9" s="608">
        <f>IF(ISNUMBER((W9*factor_trimestre)/DatosB!CN9),(W9*factor_trimestre)/DatosB!CN9,"-")</f>
        <v>0</v>
      </c>
      <c r="Y9" s="617" t="str">
        <f>IF(ISNUMBER(IF(J_V="SI",Datos!K9,Datos!K9+Datos!AA9)-IF(Monitorios="SI",Datos!CC9,0)),
                          IF(J_V="SI",Datos!K9,Datos!K9+Datos!AA9)-IF(Monitorios="SI",Datos!CC9,0),
                          " - ")</f>
        <v xml:space="preserve"> - </v>
      </c>
      <c r="Z9" s="617"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28">
        <f>Datos!DU9</f>
        <v>0</v>
      </c>
      <c r="AY9" s="470"/>
      <c r="BU9" s="1020">
        <f>Datos!ER9/factor_trimestre</f>
        <v>327.27272727272731</v>
      </c>
      <c r="BZ9" s="1181">
        <f>Datos!EZ9</f>
        <v>0</v>
      </c>
    </row>
    <row r="10" spans="1:78" ht="14.25">
      <c r="A10" s="500">
        <f>Datos!AO10</f>
        <v>1</v>
      </c>
      <c r="B10" s="506" t="s">
        <v>247</v>
      </c>
      <c r="C10" s="7" t="str">
        <f>Datos!A10</f>
        <v>Sección De Violencia sobre la Mujer del TI</v>
      </c>
      <c r="D10" s="507"/>
      <c r="E10" s="1163">
        <f>IF(ISNUMBER(Datos!AQ10),Datos!AQ10," - ")</f>
        <v>0</v>
      </c>
      <c r="F10" s="224">
        <f>IF(ISNUMBER(Datos!L10+Datos!K10-Datos!J10),Datos!L10+Datos!K10-Datos!J10," - ")</f>
        <v>0</v>
      </c>
      <c r="G10" s="224">
        <f>IF(ISNUMBER(Datos!I10),Datos!I10," - ")</f>
        <v>0</v>
      </c>
      <c r="H10" s="228"/>
      <c r="I10" s="224" t="str">
        <f>IF(ISNUMBER(Datos!DB10),Datos!DB10," - ")</f>
        <v xml:space="preserve"> - </v>
      </c>
      <c r="J10" s="225" t="str">
        <f>IF(ISNUMBER(Datos!DC10),Datos!DC10," - ")</f>
        <v xml:space="preserve"> - </v>
      </c>
      <c r="K10" s="483">
        <f>IF(ISNUMBER(Datos!DF18),Datos!DF18,0)</f>
        <v>0</v>
      </c>
      <c r="L10" s="483"/>
      <c r="M10" s="483"/>
      <c r="N10" s="228">
        <f>IF(ISNUMBER(Datos!P10),Datos!P10,0)</f>
        <v>0</v>
      </c>
      <c r="O10" s="228" t="str">
        <f>IF(ISNUMBER(Datos!DE10),Datos!DE10," - ")</f>
        <v xml:space="preserve"> - </v>
      </c>
      <c r="P10" s="1115"/>
      <c r="Q10" s="1115"/>
      <c r="R10" s="483" t="str">
        <f>IF(ISNUMBER(Datos!AS10),Datos!AS10," - ")</f>
        <v xml:space="preserve"> - </v>
      </c>
      <c r="S10" s="480" t="str">
        <f>IF(ISNUMBER(R10/(Datos!BM10/factor_trimestre)),R10/(Datos!BM10/factor_trimestre)," - ")</f>
        <v xml:space="preserve"> - </v>
      </c>
      <c r="T10" s="225" t="str">
        <f>IF(ISNUMBER(Datos!EO10),Datos!EO10," - ")</f>
        <v xml:space="preserve"> - </v>
      </c>
      <c r="U10" s="986" t="e">
        <f>(T10/Datos!ER10)*factor_trimestre</f>
        <v>#VALUE!</v>
      </c>
      <c r="V10" s="483"/>
      <c r="W10" s="224" t="str">
        <f>IF(ISNUMBER(Datos!BY10),Datos!BY10," - ")</f>
        <v xml:space="preserve"> - </v>
      </c>
      <c r="X10" s="608" t="str">
        <f>IF(ISNUMBER((W10*factor_trimestre)/DatosB!CN10),(W10*factor_trimestre)/DatosB!CN10,"-")</f>
        <v>-</v>
      </c>
      <c r="Y10" s="617">
        <f>IF(ISNUMBER(Datos!K10),Datos!K10," - ")</f>
        <v>0</v>
      </c>
      <c r="Z10" s="617">
        <f>IF(ISNUMBER(Datos!Q10),Datos!Q10," - ")</f>
        <v>0</v>
      </c>
      <c r="AA10" s="331">
        <f>IF(ISNUMBER(Datos!L10),Datos!L10,"-")</f>
        <v>0</v>
      </c>
      <c r="AB10" s="333"/>
      <c r="AC10" s="333"/>
      <c r="AD10" s="483"/>
      <c r="AE10" s="483">
        <f>IF(ISNUMBER(Datos!R10),Datos!R10," - ")</f>
        <v>0</v>
      </c>
      <c r="AF10" s="228" t="str">
        <f>IF(ISNUMBER(Datos!BV10),Datos!BV10," - ")</f>
        <v xml:space="preserve"> - </v>
      </c>
      <c r="AG10" s="224" t="str">
        <f>IF(ISNUMBER(Datos!DV10),Datos!DV10," - ")</f>
        <v xml:space="preserve"> - </v>
      </c>
      <c r="AH10" s="297"/>
      <c r="AI10" s="226"/>
      <c r="AJ10" s="224">
        <f>IF(ISNUMBER(Datos!M10),Datos!M10," - ")</f>
        <v>0</v>
      </c>
      <c r="AK10" s="228">
        <f>IF(ISNUMBER(Datos!N10),Datos!N10," - ")</f>
        <v>0</v>
      </c>
      <c r="AL10" s="228" t="str">
        <f>IF(ISNUMBER(Datos!BW10),Datos!BW10," - ")</f>
        <v xml:space="preserve"> - </v>
      </c>
      <c r="AM10" s="227" t="str">
        <f>IF(ISNUMBER(Datos!BX10),Datos!BX10," - ")</f>
        <v xml:space="preserve"> - </v>
      </c>
      <c r="AN10" s="242"/>
      <c r="AO10" s="259" t="str">
        <f>IF(ISNUMBER(((NºAsuntos!I10/NºAsuntos!G10)*11)/factor_trimestre),((NºAsuntos!I10/NºAsuntos!G10)*11)/factor_trimestre," - ")</f>
        <v xml:space="preserve"> - </v>
      </c>
      <c r="AP10" s="229" t="str">
        <f>IF(ISNUMBER(Datos!CI10/Datos!CJ10),Datos!CI10/Datos!CJ10," - ")</f>
        <v xml:space="preserve"> - </v>
      </c>
      <c r="AQ10" s="229" t="str">
        <f>IF(ISNUMBER((I10-Y10+K10)/(F10)),(I10-Y10+K10)/(F10)," - ")</f>
        <v xml:space="preserve"> - </v>
      </c>
      <c r="AR10" s="229" t="str">
        <f>IF(ISNUMBER((Datos!P10-Datos!Q10+Datos!DE10)/(Datos!R10-Datos!P10+Datos!Q10-Datos!DE10)),(Datos!P10-Datos!Q10+Datos!DE10)/(Datos!R10-Datos!P10+Datos!Q10-Datos!DE10)," - ")</f>
        <v xml:space="preserve"> - </v>
      </c>
      <c r="AS10" s="359"/>
      <c r="AT10" s="359"/>
      <c r="AU10" s="265" t="str">
        <f>IF(ISNUMBER(Datos!EV10),Datos!EV10," - ")</f>
        <v xml:space="preserve"> - </v>
      </c>
      <c r="AV10" s="265" t="str">
        <f>IF(ISNUMBER(Datos!CW10),Datos!CW10," - ")</f>
        <v xml:space="preserve"> - </v>
      </c>
      <c r="AW10" s="265">
        <f>Datos!CX10</f>
        <v>0</v>
      </c>
      <c r="AX10" s="628">
        <f>Datos!DU10</f>
        <v>0</v>
      </c>
      <c r="AY10" s="470"/>
      <c r="BU10" s="1020">
        <f>Datos!ER10/factor_trimestre</f>
        <v>436.36363636363637</v>
      </c>
      <c r="BZ10" s="1181">
        <f>Datos!EZ10</f>
        <v>0</v>
      </c>
    </row>
    <row r="11" spans="1:78" ht="14.25">
      <c r="A11" s="500">
        <f>Datos!AO11</f>
        <v>0</v>
      </c>
      <c r="B11" s="506" t="s">
        <v>247</v>
      </c>
      <c r="C11" s="7" t="str">
        <f>Datos!A11</f>
        <v xml:space="preserve">Sección de Familia, infancia e incapacidad del TI                           </v>
      </c>
      <c r="D11" s="507"/>
      <c r="E11" s="1163">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5"/>
      <c r="Q11" s="1115"/>
      <c r="R11" s="483" t="str">
        <f>IF(ISNUMBER(Datos!AS11),Datos!AS11," - ")</f>
        <v xml:space="preserve"> - </v>
      </c>
      <c r="S11" s="480" t="str">
        <f>IF(ISNUMBER(R11/(Datos!BM11/factor_trimestre)),R11/(Datos!BM11/factor_trimestre)," - ")</f>
        <v xml:space="preserve"> - </v>
      </c>
      <c r="T11" s="225" t="str">
        <f>IF(ISNUMBER(Datos!EO11),Datos!EO11," - ")</f>
        <v xml:space="preserve"> - </v>
      </c>
      <c r="U11" s="986" t="e">
        <f>(T11/Datos!ER11)*factor_trimestre</f>
        <v>#VALUE!</v>
      </c>
      <c r="V11" s="483"/>
      <c r="W11" s="224">
        <f>IF(ISNUMBER(Datos!BY11+Datos!BZ11),Datos!BY11+Datos!BZ11," - ")</f>
        <v>0</v>
      </c>
      <c r="X11" s="608">
        <f>IF(ISNUMBER((W11*factor_trimestre)/DatosB!CN11),(W11*factor_trimestre)/DatosB!CN11,"-")</f>
        <v>0</v>
      </c>
      <c r="Y11" s="617" t="str">
        <f>IF(ISNUMBER(IF(J_V="SI",Datos!K11,Datos!K11+Datos!AA11)-IF(Monitorios="SI",Datos!CC11,0)),
                          IF(J_V="SI",Datos!K11,Datos!K11+Datos!AA11)-IF(Monitorios="SI",Datos!CC11,0),
                          " - ")</f>
        <v xml:space="preserve"> - </v>
      </c>
      <c r="Z11" s="617"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28">
        <f>Datos!DU11</f>
        <v>0</v>
      </c>
      <c r="AY11" s="470"/>
      <c r="BU11" s="1020">
        <f>Datos!ER11/factor_trimestre</f>
        <v>360.81818181818181</v>
      </c>
      <c r="BZ11" s="1181">
        <f>Datos!EZ11</f>
        <v>0</v>
      </c>
    </row>
    <row r="12" spans="1:78" ht="15" thickBot="1">
      <c r="A12" s="500">
        <f>Datos!AO12</f>
        <v>3</v>
      </c>
      <c r="B12" s="506" t="s">
        <v>247</v>
      </c>
      <c r="C12" s="7" t="str">
        <f>Datos!A12</f>
        <v xml:space="preserve">Sección Civil y de Inst. TI                      </v>
      </c>
      <c r="D12" s="507"/>
      <c r="E12" s="1163">
        <f>IF(ISNUMBER(Datos!AQ12),Datos!AQ12," - ")</f>
        <v>3</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230</v>
      </c>
      <c r="O12" s="228" t="str">
        <f>IF(ISNUMBER(Datos!DE12),Datos!DE12," - ")</f>
        <v xml:space="preserve"> - </v>
      </c>
      <c r="P12" s="1115"/>
      <c r="Q12" s="1115"/>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86" t="e">
        <f>(T12/Datos!ER12)*factor_trimestre</f>
        <v>#VALUE!</v>
      </c>
      <c r="V12" s="483" t="str">
        <f>IF(ISNUMBER(Datos!CB12),Datos!CB12," - ")</f>
        <v xml:space="preserve"> - </v>
      </c>
      <c r="W12" s="224" t="str">
        <f>IF(ISNUMBER(Datos!BY12),Datos!BY12," - ")</f>
        <v xml:space="preserve"> - </v>
      </c>
      <c r="X12" s="608" t="str">
        <f>IF(ISNUMBER((W12*factor_trimestre)/DatosB!CN12),(W12*factor_trimestre)/DatosB!CN12,"-")</f>
        <v>-</v>
      </c>
      <c r="Y12" s="617" t="str">
        <f>IF(ISNUMBER(IF(J_V="SI",Datos!K12,Datos!K12+Datos!AA12)-IF(Monitorios="SI",Datos!CC12,0)),
                          IF(J_V="SI",Datos!K12,Datos!K12+Datos!AA12)-IF(Monitorios="SI",Datos!CC12,0),
                          " - ")</f>
        <v xml:space="preserve"> - </v>
      </c>
      <c r="Z12" s="617">
        <f>IF(ISNUMBER(Datos!Q12),Datos!Q12," - ")</f>
        <v>279</v>
      </c>
      <c r="AA12" s="331" t="str">
        <f>IF(ISNUMBER(IF(J_V="SI",Datos!L12,Datos!L12+Datos!AB12)-IF(Monitorios="SI",Datos!CD12,0)),
                          IF(J_V="SI",Datos!L12,Datos!L12+Datos!AB12)-IF(Monitorios="SI",Datos!CD12,0),
                          " - ")</f>
        <v xml:space="preserve"> - </v>
      </c>
      <c r="AB12" s="333"/>
      <c r="AC12" s="333"/>
      <c r="AD12" s="483"/>
      <c r="AE12" s="483">
        <f>IF(ISNUMBER(Datos!R12),Datos!R12," - ")</f>
        <v>2852</v>
      </c>
      <c r="AF12" s="228" t="str">
        <f>IF(ISNUMBER(Datos!BV12),Datos!BV12," - ")</f>
        <v xml:space="preserve"> - </v>
      </c>
      <c r="AG12" s="224" t="str">
        <f>IF(ISNUMBER(Datos!DV12),Datos!DV12," - ")</f>
        <v xml:space="preserve"> - </v>
      </c>
      <c r="AH12" s="297"/>
      <c r="AI12" s="226"/>
      <c r="AJ12" s="224">
        <f>IF(ISNUMBER(Datos!M12),Datos!M12," - ")</f>
        <v>243</v>
      </c>
      <c r="AK12" s="228">
        <f>IF(ISNUMBER(Datos!N12),Datos!N12," - ")</f>
        <v>200</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7.8815165876777247</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-1.6890727335401586E-2</v>
      </c>
      <c r="AS12" s="359"/>
      <c r="AT12" s="359"/>
      <c r="AU12" s="265" t="str">
        <f>IF(ISNUMBER(Datos!EV12),Datos!EV12," - ")</f>
        <v xml:space="preserve"> - </v>
      </c>
      <c r="AV12" s="265" t="str">
        <f>IF(ISNUMBER(Datos!CW12),Datos!CW12," - ")</f>
        <v xml:space="preserve"> - </v>
      </c>
      <c r="AW12" s="265">
        <f>Datos!CX12</f>
        <v>0</v>
      </c>
      <c r="AX12" s="628">
        <f>Datos!DU12</f>
        <v>0</v>
      </c>
      <c r="AY12" s="470"/>
      <c r="BU12" s="1020">
        <f>Datos!ER12/factor_trimestre</f>
        <v>185.45454545454547</v>
      </c>
      <c r="BZ12" s="1181">
        <f>Datos!EZ12</f>
        <v>0</v>
      </c>
    </row>
    <row r="13" spans="1:78" ht="15.75" thickTop="1" thickBot="1">
      <c r="A13" s="177"/>
      <c r="B13" s="177"/>
      <c r="C13" s="860" t="str">
        <f>Datos!A13</f>
        <v>TOTAL</v>
      </c>
      <c r="D13" s="860"/>
      <c r="E13" s="895">
        <f>SUBTOTAL(9,E8:E12)</f>
        <v>3</v>
      </c>
      <c r="F13" s="895">
        <f>SUBTOTAL(9,F8:F12)</f>
        <v>0</v>
      </c>
      <c r="G13" s="895">
        <f>SUBTOTAL(9,G8:G12)</f>
        <v>0</v>
      </c>
      <c r="H13" s="905"/>
      <c r="I13" s="895">
        <f t="shared" ref="I13:N13" si="0">SUBTOTAL(9,I8:I12)</f>
        <v>0</v>
      </c>
      <c r="J13" s="864">
        <f t="shared" si="0"/>
        <v>0</v>
      </c>
      <c r="K13" s="905">
        <f t="shared" si="0"/>
        <v>0</v>
      </c>
      <c r="L13" s="905">
        <f t="shared" si="0"/>
        <v>0</v>
      </c>
      <c r="M13" s="905">
        <f t="shared" si="0"/>
        <v>0</v>
      </c>
      <c r="N13" s="905">
        <f t="shared" si="0"/>
        <v>230</v>
      </c>
      <c r="O13" s="905"/>
      <c r="P13" s="1116"/>
      <c r="Q13" s="1116"/>
      <c r="R13" s="905">
        <f t="shared" ref="R13:W13" si="1">SUBTOTAL(9,R8:R12)</f>
        <v>0</v>
      </c>
      <c r="S13" s="1116">
        <f t="shared" si="1"/>
        <v>0</v>
      </c>
      <c r="T13" s="864">
        <f t="shared" si="1"/>
        <v>0</v>
      </c>
      <c r="U13" s="866" t="e">
        <f t="shared" si="1"/>
        <v>#VALUE!</v>
      </c>
      <c r="V13" s="904">
        <f t="shared" si="1"/>
        <v>0</v>
      </c>
      <c r="W13" s="905">
        <f t="shared" si="1"/>
        <v>0</v>
      </c>
      <c r="X13" s="924">
        <f>IF(ISNUMBER((W13*factor_trimestre)/Datos!CN13),(W13*factor_trimestre)/Datos!CN13,"-")</f>
        <v>0</v>
      </c>
      <c r="Y13" s="904">
        <f t="shared" ref="Y13:AN13" si="2">SUBTOTAL(9,Y8:Y12)</f>
        <v>0</v>
      </c>
      <c r="Z13" s="904">
        <f t="shared" si="2"/>
        <v>279</v>
      </c>
      <c r="AA13" s="897">
        <f t="shared" si="2"/>
        <v>0</v>
      </c>
      <c r="AB13" s="897">
        <f t="shared" si="2"/>
        <v>0</v>
      </c>
      <c r="AC13" s="897">
        <f t="shared" si="2"/>
        <v>0</v>
      </c>
      <c r="AD13" s="897">
        <f t="shared" si="2"/>
        <v>0</v>
      </c>
      <c r="AE13" s="897">
        <f t="shared" si="2"/>
        <v>2852</v>
      </c>
      <c r="AF13" s="905">
        <f t="shared" si="2"/>
        <v>0</v>
      </c>
      <c r="AG13" s="905">
        <f t="shared" si="2"/>
        <v>0</v>
      </c>
      <c r="AH13" s="905">
        <f t="shared" si="2"/>
        <v>0</v>
      </c>
      <c r="AI13" s="905">
        <f t="shared" si="2"/>
        <v>0</v>
      </c>
      <c r="AJ13" s="905">
        <f t="shared" si="2"/>
        <v>243</v>
      </c>
      <c r="AK13" s="905">
        <f t="shared" si="2"/>
        <v>200</v>
      </c>
      <c r="AL13" s="905">
        <f t="shared" si="2"/>
        <v>0</v>
      </c>
      <c r="AM13" s="905">
        <f t="shared" si="2"/>
        <v>0</v>
      </c>
      <c r="AN13" s="905">
        <f t="shared" si="2"/>
        <v>0</v>
      </c>
      <c r="AO13" s="901">
        <f>IF(ISNUMBER(((NºAsuntos!I13/NºAsuntos!G13)*11)/factor_trimestre),((NºAsuntos!I13/NºAsuntos!G13)*11)/factor_trimestre," - ")</f>
        <v>7.8815165876777247</v>
      </c>
      <c r="AP13" s="907" t="str">
        <f>IF(ISNUMBER(Datos!CI13/Datos!CJ13),Datos!CI13/Datos!CJ13," - ")</f>
        <v xml:space="preserve"> - </v>
      </c>
      <c r="AQ13" s="923">
        <f t="shared" ref="AQ13:AV13" si="3">SUBTOTAL(9,AQ9:AQ12)</f>
        <v>0</v>
      </c>
      <c r="AR13" s="923">
        <f t="shared" si="3"/>
        <v>-1.6890727335401586E-2</v>
      </c>
      <c r="AS13" s="905">
        <f t="shared" si="3"/>
        <v>0</v>
      </c>
      <c r="AT13" s="905">
        <f t="shared" si="3"/>
        <v>0</v>
      </c>
      <c r="AU13" s="905">
        <f t="shared" si="3"/>
        <v>0</v>
      </c>
      <c r="AV13" s="905">
        <f t="shared" si="3"/>
        <v>0</v>
      </c>
      <c r="AW13" s="925"/>
      <c r="AX13" s="926"/>
      <c r="BU13" s="896"/>
      <c r="BZ13" s="1181"/>
    </row>
    <row r="14" spans="1:78" ht="15" thickTop="1">
      <c r="A14" s="509"/>
      <c r="B14" s="509"/>
      <c r="C14" s="285" t="str">
        <f>Datos!A14</f>
        <v xml:space="preserve">Jurisdicción Penal ( 2 ):                      </v>
      </c>
      <c r="D14" s="510"/>
      <c r="E14" s="578"/>
      <c r="F14" s="233"/>
      <c r="G14" s="631"/>
      <c r="H14" s="228"/>
      <c r="I14" s="497"/>
      <c r="J14" s="216"/>
      <c r="K14" s="483"/>
      <c r="L14" s="483"/>
      <c r="M14" s="483"/>
      <c r="N14" s="228"/>
      <c r="O14" s="228"/>
      <c r="P14" s="1115"/>
      <c r="Q14" s="1115"/>
      <c r="R14" s="360"/>
      <c r="S14" s="1110"/>
      <c r="T14" s="299"/>
      <c r="U14" s="987"/>
      <c r="V14" s="607"/>
      <c r="W14" s="224"/>
      <c r="X14" s="477"/>
      <c r="Y14" s="614"/>
      <c r="Z14" s="616"/>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1">
        <f>Datos!EZ14</f>
        <v>0</v>
      </c>
    </row>
    <row r="15" spans="1:78" ht="14.25">
      <c r="A15" s="500">
        <f>Datos!AO15</f>
        <v>0</v>
      </c>
      <c r="B15" s="506" t="s">
        <v>397</v>
      </c>
      <c r="C15" s="159" t="str">
        <f>Datos!A15</f>
        <v xml:space="preserve">Seccion Instruccion Del T.I.                   </v>
      </c>
      <c r="D15" s="501"/>
      <c r="E15" s="1163">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5" t="str">
        <f>IF(ISNUMBER(Datos!EB15*factor_trimestre/Datos!EE15),Datos!EB15*factor_trimestre/Datos!EE15," - ")</f>
        <v xml:space="preserve"> - </v>
      </c>
      <c r="Q15" s="1115"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86" t="e">
        <f>(T15/Datos!ER15)*factor_trimestre</f>
        <v>#VALUE!</v>
      </c>
      <c r="V15" s="483"/>
      <c r="W15" s="224">
        <f>IF(ISNUMBER(Datos!BY15+Datos!BZ15*1.16),Datos!BY15+Datos!BZ15*1.16," - ")</f>
        <v>0</v>
      </c>
      <c r="X15" s="608">
        <f>IF(ISNUMBER((W15*factor_trimestre)/DatosB!CN15),(W15*factor_trimestre)/DatosB!CN15,"-")</f>
        <v>0</v>
      </c>
      <c r="Y15" s="617" t="str">
        <f>IF(ISNUMBER(IF(D_I="SI",Datos!K15,Datos!K15+Datos!AE15)),IF(D_I="SI",Datos!K15,Datos!K15+Datos!AE15)," - ")</f>
        <v xml:space="preserve"> - </v>
      </c>
      <c r="Z15" s="617"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0">
        <f>Datos!ER15/factor_trimestre</f>
        <v>900</v>
      </c>
      <c r="BZ15" s="1181">
        <f>Datos!EZ15</f>
        <v>0</v>
      </c>
    </row>
    <row r="16" spans="1:78" s="1253" customFormat="1" ht="14.25">
      <c r="A16" s="1275">
        <f>Datos!AO16</f>
        <v>0</v>
      </c>
      <c r="B16" s="1280" t="s">
        <v>397</v>
      </c>
      <c r="C16" s="1200" t="str">
        <f>Datos!A16</f>
        <v>Seccion Violencia contra la inf y adol.</v>
      </c>
      <c r="D16" s="1276"/>
      <c r="E16" s="1163">
        <f>IF(ISNUMBER(Datos!AQ16),Datos!AQ16," - ")</f>
        <v>0</v>
      </c>
      <c r="F16" s="1246" t="str">
        <f>IF(ISNUMBER(AA16+Y16-Datos!J16-K16),AA16+Y16-Datos!J16-K16," - ")</f>
        <v xml:space="preserve"> - </v>
      </c>
      <c r="G16" s="1214" t="str">
        <f>IF(ISNUMBER(IF(D_I="SI",Datos!I16,Datos!I16+Datos!AC16)),IF(D_I="SI",Datos!I16,Datos!I16+Datos!AC16)," - ")</f>
        <v xml:space="preserve"> - </v>
      </c>
      <c r="H16" s="1218"/>
      <c r="I16" s="1218" t="str">
        <f>IF(ISNUMBER(Datos!DC16),Datos!DC16," - ")</f>
        <v xml:space="preserve"> - </v>
      </c>
      <c r="J16" s="1215" t="str">
        <f>IF(ISNUMBER(Datos!DC16),Datos!DC16," - ")</f>
        <v xml:space="preserve"> - </v>
      </c>
      <c r="K16" s="1262">
        <f>IF(ISNUMBER(Datos!DF16),Datos!DF16,0)</f>
        <v>0</v>
      </c>
      <c r="L16" s="1262" t="str">
        <f>IF(ISNUMBER(Datos!EB16),Datos!EB16," - ")</f>
        <v xml:space="preserve"> - </v>
      </c>
      <c r="M16" s="1262" t="str">
        <f>IF(ISNUMBER(Datos!EC16),Datos!EC16," - ")</f>
        <v xml:space="preserve"> - </v>
      </c>
      <c r="N16" s="1218">
        <f>IF(ISNUMBER(Datos!P16),Datos!P16,0)</f>
        <v>0</v>
      </c>
      <c r="O16" s="1218" t="str">
        <f>IF(ISNUMBER(Datos!DE16),Datos!DE16," - ")</f>
        <v xml:space="preserve"> - </v>
      </c>
      <c r="P16" s="1115" t="str">
        <f>IF(ISNUMBER(Datos!EB16*factor_trimestre/Datos!EE16),Datos!EB16*factor_trimestre/Datos!EE16," - ")</f>
        <v xml:space="preserve"> - </v>
      </c>
      <c r="Q16" s="1115" t="str">
        <f>IF(ISNUMBER(Datos!EC16*factor_trimestre/Datos!EF16),Datos!EC16*factor_trimestre/Datos!EF16," - ")</f>
        <v xml:space="preserve"> - </v>
      </c>
      <c r="R16" s="1262">
        <f>IF(ISNUMBER((Datos!AS16+Datos!AT16)),(Datos!AS16+Datos!AT16),0)</f>
        <v>0</v>
      </c>
      <c r="S16" s="1260">
        <f>IF(ISNUMBER(R16/(Datos!BM16/factor_trimestre)),R16/(Datos!BM16/factor_trimestre)," - ")</f>
        <v>0</v>
      </c>
      <c r="T16" s="1215" t="str">
        <f>IF(ISNUMBER(Datos!EO16),Datos!EO16," - ")</f>
        <v xml:space="preserve"> - </v>
      </c>
      <c r="U16" s="1415" t="e">
        <f>(T16/Datos!ER16)*factor_trimestre</f>
        <v>#VALUE!</v>
      </c>
      <c r="V16" s="1262"/>
      <c r="W16" s="1214">
        <f>IF(ISNUMBER(Datos!BY16+Datos!BZ16*1.16),Datos!BY16+Datos!BZ16*1.16," - ")</f>
        <v>0</v>
      </c>
      <c r="X16" s="608">
        <f>IF(ISNUMBER((W16*factor_trimestre)/DatosB!CN16),(W16*factor_trimestre)/DatosB!CN16,"-")</f>
        <v>0</v>
      </c>
      <c r="Y16" s="1349" t="str">
        <f>IF(ISNUMBER(IF(D_I="SI",Datos!K16,Datos!K16+Datos!AE16)),IF(D_I="SI",Datos!K16,Datos!K16+Datos!AE16)," - ")</f>
        <v xml:space="preserve"> - </v>
      </c>
      <c r="Z16" s="1349" t="str">
        <f>IF(ISNUMBER(Datos!Q16),Datos!Q16," - ")</f>
        <v xml:space="preserve"> - </v>
      </c>
      <c r="AA16" s="1245" t="str">
        <f>IF(ISNUMBER(IF(D_I="SI",Datos!L16,Datos!L16+Datos!AF16)),IF(D_I="SI",Datos!L16,Datos!L16+Datos!AF16)," - ")</f>
        <v xml:space="preserve"> - </v>
      </c>
      <c r="AB16" s="1247"/>
      <c r="AC16" s="1247"/>
      <c r="AD16" s="1262"/>
      <c r="AE16" s="1262" t="str">
        <f>IF(ISNUMBER(Datos!R16),Datos!R16," - ")</f>
        <v xml:space="preserve"> - </v>
      </c>
      <c r="AF16" s="1218" t="str">
        <f>IF(ISNUMBER(Datos!BV16),Datos!BV16," - ")</f>
        <v xml:space="preserve"> - </v>
      </c>
      <c r="AG16" s="1214"/>
      <c r="AH16" s="1236"/>
      <c r="AI16" s="1216"/>
      <c r="AJ16" s="1214" t="str">
        <f>IF(ISNUMBER(Datos!M16),Datos!M16," - ")</f>
        <v xml:space="preserve"> - </v>
      </c>
      <c r="AK16" s="1218" t="str">
        <f>IF(ISNUMBER(Datos!N16),Datos!N16," - ")</f>
        <v xml:space="preserve"> - </v>
      </c>
      <c r="AL16" s="1218" t="str">
        <f>IF(ISNUMBER(Datos!BW16),Datos!BW16," - ")</f>
        <v xml:space="preserve"> - </v>
      </c>
      <c r="AM16" s="1217" t="str">
        <f>IF(ISNUMBER(Datos!BX16),Datos!BX16," - ")</f>
        <v xml:space="preserve"> - </v>
      </c>
      <c r="AN16" s="1223"/>
      <c r="AO16" s="1226" t="str">
        <f>IF(ISNUMBER(((NºAsuntos!I16/NºAsuntos!G16)*11)/factor_trimestre),((NºAsuntos!I16/NºAsuntos!G16)*11)/factor_trimestre," - ")</f>
        <v xml:space="preserve"> - </v>
      </c>
      <c r="AP16" s="1219" t="str">
        <f>IF(ISNUMBER(Datos!CI16/Datos!CJ16),Datos!CI16/Datos!CJ16," - ")</f>
        <v xml:space="preserve"> - </v>
      </c>
      <c r="AQ16" s="1219" t="str">
        <f>IF(ISNUMBER((J16-Y16+K16)/(F16)),(J16-Y16+K16)/(F16)," - ")</f>
        <v xml:space="preserve"> - </v>
      </c>
      <c r="AR16" s="1219" t="str">
        <f>IF(ISNUMBER((Datos!P16-Datos!Q16+O16)/(Datos!R16-Datos!P16+Datos!Q16-O16)),(Datos!P16-Datos!Q16+O16)/(Datos!R16-Datos!P16+Datos!Q16-O16)," - ")</f>
        <v xml:space="preserve"> - </v>
      </c>
      <c r="AS16" s="1229" t="str">
        <f>IF(ISNUMBER(Datos!CS16),Datos!CS16," - ")</f>
        <v xml:space="preserve"> - </v>
      </c>
      <c r="AT16" s="1229" t="str">
        <f>IF(ISNUMBER(Datos!EI16),Datos!EI16," - ")</f>
        <v xml:space="preserve"> - </v>
      </c>
      <c r="AU16" s="1229" t="str">
        <f>IF(ISNUMBER(Datos!EV16),Datos!EV16," - ")</f>
        <v xml:space="preserve"> - </v>
      </c>
      <c r="AV16" s="1229" t="str">
        <f>IF(ISNUMBER(Datos!CW16),Datos!CW16," - ")</f>
        <v xml:space="preserve"> - </v>
      </c>
      <c r="AW16" s="1229">
        <f>Datos!CX16</f>
        <v>0</v>
      </c>
      <c r="AX16" s="484">
        <f>Datos!DU16</f>
        <v>0</v>
      </c>
      <c r="BU16" s="1420">
        <f>Datos!ER16/factor_trimestre</f>
        <v>900</v>
      </c>
      <c r="BZ16" s="1421">
        <f>Datos!EZ16</f>
        <v>0</v>
      </c>
    </row>
    <row r="17" spans="1:78" ht="14.25">
      <c r="A17" s="500">
        <f>Datos!AO17</f>
        <v>3</v>
      </c>
      <c r="B17" s="506" t="s">
        <v>397</v>
      </c>
      <c r="C17" s="159" t="str">
        <f>Datos!A17</f>
        <v xml:space="preserve">Sección Civil y de Inst. TI                      </v>
      </c>
      <c r="D17" s="501"/>
      <c r="E17" s="1163">
        <f>IF(ISNUMBER(Datos!AQ17),Datos!AQ17," - ")</f>
        <v>3</v>
      </c>
      <c r="F17" s="332">
        <f>IF(ISNUMBER(AA17+Y17-Datos!J17-K15),AA17+Y17-Datos!J17-K15," - ")</f>
        <v>1541</v>
      </c>
      <c r="G17" s="224">
        <f>IF(ISNUMBER(IF(D_I="SI",Datos!I17,Datos!I17+Datos!AC17)),IF(D_I="SI",Datos!I17,Datos!I17+Datos!AC17)," - ")</f>
        <v>1383</v>
      </c>
      <c r="H17" s="228"/>
      <c r="I17" s="228" t="str">
        <f>IF(ISNUMBER(Datos!DC17),Datos!DC17," - ")</f>
        <v xml:space="preserve"> - </v>
      </c>
      <c r="J17" s="225" t="str">
        <f>IF(ISNUMBER(Datos!DC17),Datos!DC17," - ")</f>
        <v xml:space="preserve"> - </v>
      </c>
      <c r="K17" s="483">
        <f>IF(ISNUMBER(Datos!DF17),Datos!DF17,0)</f>
        <v>0</v>
      </c>
      <c r="L17" s="483"/>
      <c r="M17" s="483"/>
      <c r="N17" s="228">
        <f>IF(ISNUMBER(Datos!P17),Datos!P17,0)</f>
        <v>7</v>
      </c>
      <c r="O17" s="228" t="str">
        <f>IF(ISNUMBER(Datos!DE17),Datos!DE17," - ")</f>
        <v xml:space="preserve"> - </v>
      </c>
      <c r="P17" s="1115"/>
      <c r="Q17" s="1115"/>
      <c r="R17" s="483" t="str">
        <f>IF(ISNUMBER(Datos!AS17*(2500/380)+DatosP!AS17),Datos!AS17*(2500/380)+DatosP!AS17," - ")</f>
        <v xml:space="preserve"> - </v>
      </c>
      <c r="S17" s="480" t="str">
        <f>IF(ISNUMBER(R17/(Datos!BM17/factor_trimestre)),R17/(Datos!BM17/factor_trimestre)," - ")</f>
        <v xml:space="preserve"> - </v>
      </c>
      <c r="T17" s="225" t="str">
        <f>IF(ISNUMBER(Datos!EO17),Datos!EO17," - ")</f>
        <v xml:space="preserve"> - </v>
      </c>
      <c r="U17" s="986" t="e">
        <f>(T17/Datos!ER17)*factor_trimestre</f>
        <v>#VALUE!</v>
      </c>
      <c r="V17" s="483"/>
      <c r="W17" s="224" t="str">
        <f>IF(ISNUMBER(Datos!BY17),Datos!BY17," - ")</f>
        <v xml:space="preserve"> - </v>
      </c>
      <c r="X17" s="608" t="str">
        <f>IF(ISNUMBER((W17*factor_trimestre)/DatosB!CN17),(W17*factor_trimestre)/DatosB!CN17,"-")</f>
        <v>-</v>
      </c>
      <c r="Y17" s="617">
        <f>IF(ISNUMBER(IF(D_I="SI",Datos!K17,Datos!K17+Datos!AE17)),IF(D_I="SI",Datos!K17,Datos!K17+Datos!AE17)," - ")</f>
        <v>433</v>
      </c>
      <c r="Z17" s="617">
        <f>IF(ISNUMBER(Datos!Q17),Datos!Q17," - ")</f>
        <v>17</v>
      </c>
      <c r="AA17" s="331">
        <f>IF(ISNUMBER(IF(D_I="SI",Datos!L17,Datos!L17+Datos!AF17)),IF(D_I="SI",Datos!L17,Datos!L17+Datos!AF17)," - ")</f>
        <v>1411</v>
      </c>
      <c r="AB17" s="333"/>
      <c r="AC17" s="333"/>
      <c r="AD17" s="483"/>
      <c r="AE17" s="483">
        <f>IF(ISNUMBER(Datos!R17),Datos!R17," - ")</f>
        <v>51</v>
      </c>
      <c r="AF17" s="228" t="str">
        <f>IF(ISNUMBER(Datos!BV17),Datos!BV17," - ")</f>
        <v xml:space="preserve"> - </v>
      </c>
      <c r="AG17" s="224"/>
      <c r="AH17" s="297"/>
      <c r="AI17" s="226"/>
      <c r="AJ17" s="224">
        <f>IF(ISNUMBER(Datos!M17),Datos!M17," - ")</f>
        <v>90</v>
      </c>
      <c r="AK17" s="228">
        <f>IF(ISNUMBER(Datos!N17),Datos!N17," - ")</f>
        <v>262</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9.7759815242494223</v>
      </c>
      <c r="AP17" s="229" t="str">
        <f>IF(ISNUMBER(Datos!CI17/Datos!CJ17),Datos!CI17/Datos!CJ17," - ")</f>
        <v xml:space="preserve"> - </v>
      </c>
      <c r="AQ17" s="229" t="str">
        <f>IF(ISNUMBER((J17-Y17+K17)/(F17)),(J17-Y17+K17)/(F17),"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0">
        <f>Datos!ER17/factor_trimestre</f>
        <v>272.72727272727275</v>
      </c>
      <c r="BZ17" s="1181">
        <f>Datos!EZ17</f>
        <v>0</v>
      </c>
    </row>
    <row r="18" spans="1:78" ht="15" thickBot="1">
      <c r="A18" s="500">
        <f>Datos!AO18</f>
        <v>1</v>
      </c>
      <c r="B18" s="506" t="s">
        <v>397</v>
      </c>
      <c r="C18" s="7" t="str">
        <f>Datos!A18</f>
        <v>Sección De Violencia sobre la Mujer del TI</v>
      </c>
      <c r="D18" s="507"/>
      <c r="E18" s="1163">
        <f>IF(ISNUMBER(Datos!AQ18),Datos!AQ18," - ")</f>
        <v>0</v>
      </c>
      <c r="F18" s="224" t="str">
        <f>IF(ISNUMBER(AA18+Y18-I18-K18),AA18+Y18-I18-K18," - ")</f>
        <v xml:space="preserve"> - </v>
      </c>
      <c r="G18" s="522">
        <f>IF(ISNUMBER(IF(D_I="SI",Datos!I18,Datos!I18+Datos!AC18)),IF(D_I="SI",Datos!I18,Datos!I18+Datos!AC18)," - ")</f>
        <v>13</v>
      </c>
      <c r="H18" s="228"/>
      <c r="I18" s="224" t="str">
        <f>IF(ISNUMBER(Datos!DB18),Datos!DB18," - ")</f>
        <v xml:space="preserve"> - </v>
      </c>
      <c r="J18" s="225" t="str">
        <f>IF(ISNUMBER(Datos!DC18),Datos!DC18," - ")</f>
        <v xml:space="preserve"> - </v>
      </c>
      <c r="K18" s="483">
        <f>IF(ISNUMBER(Datos!DF18),Datos!DF18,0)</f>
        <v>0</v>
      </c>
      <c r="L18" s="483" t="str">
        <f>IF(ISNUMBER(Datos!EB18),Datos!EB18," - ")</f>
        <v xml:space="preserve"> - </v>
      </c>
      <c r="M18" s="483" t="str">
        <f>IF(ISNUMBER(Datos!EC18),Datos!EC18," - ")</f>
        <v xml:space="preserve"> - </v>
      </c>
      <c r="N18" s="228">
        <f>IF(ISNUMBER(Datos!P18),Datos!P18,0)</f>
        <v>0</v>
      </c>
      <c r="O18" s="228" t="str">
        <f>IF(ISNUMBER(Datos!DE18),Datos!DE18," - ")</f>
        <v xml:space="preserve"> - </v>
      </c>
      <c r="P18" s="1115" t="str">
        <f>IF(ISNUMBER(Datos!EB18*factor_trimestre/Datos!EE18),Datos!EB18*factor_trimestre/Datos!EE18," - ")</f>
        <v xml:space="preserve"> - </v>
      </c>
      <c r="Q18" s="1115" t="str">
        <f>IF(ISNUMBER(Datos!EC18*factor_trimestre/Datos!EF18),Datos!EC18*factor_trimestre/Datos!EF18," - ")</f>
        <v xml:space="preserve"> - </v>
      </c>
      <c r="R18" s="483" t="str">
        <f>IF(ISNUMBER((Datos!AS18+Datos!AT18)),(Datos!AS18+Datos!AT18)," - ")</f>
        <v xml:space="preserve"> - </v>
      </c>
      <c r="S18" s="480" t="str">
        <f>IF(ISNUMBER(R18/(Datos!BM18/factor_trimestre)),R18/(Datos!BM18/factor_trimestre)," - ")</f>
        <v xml:space="preserve"> - </v>
      </c>
      <c r="T18" s="225" t="str">
        <f>IF(ISNUMBER(Datos!EO18),Datos!EO18," - ")</f>
        <v xml:space="preserve"> - </v>
      </c>
      <c r="U18" s="986" t="e">
        <f>(T18/Datos!ER18)*factor_trimestre</f>
        <v>#VALUE!</v>
      </c>
      <c r="V18" s="483"/>
      <c r="W18" s="224" t="str">
        <f>IF(ISNUMBER(Datos!BY18+Datos!BZ18),Datos!BY18+Datos!BZ18," - ")</f>
        <v xml:space="preserve"> - </v>
      </c>
      <c r="X18" s="608" t="str">
        <f>IF(ISNUMBER((W18*factor_trimestre)/DatosB!CN18),(W18*factor_trimestre)/DatosB!CN18,"-")</f>
        <v>-</v>
      </c>
      <c r="Y18" s="617">
        <f>IF(ISNUMBER(IF(D_I="SI",Datos!K18,Datos!K18+Datos!AE18)),IF(D_I="SI",Datos!K18,Datos!K18+Datos!AE18)," - ")</f>
        <v>0</v>
      </c>
      <c r="Z18" s="617">
        <f>IF(ISNUMBER(Datos!Q18),Datos!Q18," - ")</f>
        <v>0</v>
      </c>
      <c r="AA18" s="331">
        <f>IF(ISNUMBER(Datos!L18),Datos!L18,"-")</f>
        <v>13</v>
      </c>
      <c r="AB18" s="333"/>
      <c r="AC18" s="333"/>
      <c r="AD18" s="483"/>
      <c r="AE18" s="483">
        <f>IF(ISNUMBER(Datos!R18),Datos!R18," - ")</f>
        <v>4</v>
      </c>
      <c r="AF18" s="228" t="str">
        <f>IF(ISNUMBER(Datos!BV18),Datos!BV18," - ")</f>
        <v xml:space="preserve"> - </v>
      </c>
      <c r="AG18" s="224" t="str">
        <f>IF(ISNUMBER(Datos!DV18),Datos!DV18," - ")</f>
        <v xml:space="preserve"> - </v>
      </c>
      <c r="AH18" s="297"/>
      <c r="AI18" s="226"/>
      <c r="AJ18" s="224">
        <f>IF(ISNUMBER(Datos!M18),Datos!M18," - ")</f>
        <v>0</v>
      </c>
      <c r="AK18" s="228">
        <f>IF(ISNUMBER(Datos!N18),Datos!N18," - ")</f>
        <v>0</v>
      </c>
      <c r="AL18" s="228" t="str">
        <f>IF(ISNUMBER(Datos!BW18),Datos!BW18," - ")</f>
        <v xml:space="preserve"> - </v>
      </c>
      <c r="AM18" s="227" t="str">
        <f>IF(ISNUMBER(Datos!BX18),Datos!BX18," - ")</f>
        <v xml:space="preserve"> - </v>
      </c>
      <c r="AN18" s="242"/>
      <c r="AO18" s="259" t="str">
        <f>IF(ISNUMBER(((NºAsuntos!I18/NºAsuntos!G18)*11)/factor_trimestre),((NºAsuntos!I18/NºAsuntos!G18)*11)/factor_trimestre," - ")</f>
        <v xml:space="preserve"> - </v>
      </c>
      <c r="AP18" s="229" t="str">
        <f>IF(ISNUMBER(Datos!CI18/Datos!CJ18),Datos!CI18/Datos!CJ18," - ")</f>
        <v xml:space="preserve"> - </v>
      </c>
      <c r="AQ18" s="229" t="str">
        <f>IF(ISNUMBER((I18-Y18+K18)/(F18)),(I18-Y18+K18)/(F18)," - ")</f>
        <v xml:space="preserve"> - </v>
      </c>
      <c r="AR18" s="229" t="str">
        <f>IF(ISNUMBER((Datos!P18-Datos!Q18+O18)/(Datos!R18-Datos!P18+Datos!Q18-O18)),(Datos!P18-Datos!Q18+O18)/(Datos!R18-Datos!P18+Datos!Q18-O18)," - ")</f>
        <v xml:space="preserve"> - </v>
      </c>
      <c r="AS18" s="265" t="str">
        <f>IF(ISNUMBER(Datos!CS18),Datos!CS18," - ")</f>
        <v xml:space="preserve"> - </v>
      </c>
      <c r="AT18" s="265" t="str">
        <f>IF(ISNUMBER(Datos!EI18),Datos!EI18," - ")</f>
        <v xml:space="preserve"> - </v>
      </c>
      <c r="AU18" s="265" t="str">
        <f>IF(ISNUMBER(Datos!EV18),Datos!EV18," - ")</f>
        <v xml:space="preserve"> - </v>
      </c>
      <c r="AV18" s="265" t="str">
        <f>IF(ISNUMBER(Datos!CW18),Datos!CW18," - ")</f>
        <v xml:space="preserve"> - </v>
      </c>
      <c r="AW18" s="265">
        <f>Datos!CX18</f>
        <v>0</v>
      </c>
      <c r="AX18" s="484">
        <f>Datos!DU18</f>
        <v>0</v>
      </c>
      <c r="AY18" s="470"/>
      <c r="BU18" s="1020">
        <f>Datos!ER18/factor_trimestre</f>
        <v>436.36363636363637</v>
      </c>
      <c r="BZ18" s="1181">
        <f>Datos!EZ18</f>
        <v>0</v>
      </c>
    </row>
    <row r="19" spans="1:78" ht="15.75" thickTop="1" thickBot="1">
      <c r="A19" s="177"/>
      <c r="B19" s="177"/>
      <c r="C19" s="860" t="str">
        <f>Datos!A19</f>
        <v>TOTAL</v>
      </c>
      <c r="D19" s="860"/>
      <c r="E19" s="1164">
        <f>SUBTOTAL(9,E15:E18)</f>
        <v>3</v>
      </c>
      <c r="F19" s="895">
        <f>SUBTOTAL(9,F15:F18)</f>
        <v>1541</v>
      </c>
      <c r="G19" s="895">
        <f>SUBTOTAL(9,G15:G18)</f>
        <v>1396</v>
      </c>
      <c r="H19" s="927">
        <f>SUBTOTAL(9,H15:H18)</f>
        <v>0</v>
      </c>
      <c r="I19" s="908">
        <f>SUBTOTAL(9,I15:I18)</f>
        <v>0</v>
      </c>
      <c r="J19" s="864">
        <f>SUBTOTAL(9,J14:J18)</f>
        <v>0</v>
      </c>
      <c r="K19" s="927">
        <f t="shared" ref="K19:S19" si="4">SUBTOTAL(9,K15:K18)</f>
        <v>0</v>
      </c>
      <c r="L19" s="927">
        <f t="shared" si="4"/>
        <v>0</v>
      </c>
      <c r="M19" s="927">
        <f t="shared" si="4"/>
        <v>0</v>
      </c>
      <c r="N19" s="927">
        <f t="shared" si="4"/>
        <v>7</v>
      </c>
      <c r="O19" s="927">
        <f t="shared" si="4"/>
        <v>0</v>
      </c>
      <c r="P19" s="1117">
        <f t="shared" si="4"/>
        <v>0</v>
      </c>
      <c r="Q19" s="1117">
        <f t="shared" si="4"/>
        <v>0</v>
      </c>
      <c r="R19" s="927">
        <f t="shared" si="4"/>
        <v>0</v>
      </c>
      <c r="S19" s="1117">
        <f t="shared" si="4"/>
        <v>0</v>
      </c>
      <c r="T19" s="861">
        <f>SUBTOTAL(9,T14:T18)</f>
        <v>0</v>
      </c>
      <c r="U19" s="988" t="e">
        <f>SUBTOTAL(9,U14:U18)</f>
        <v>#VALUE!</v>
      </c>
      <c r="V19" s="928">
        <f>SUBTOTAL(9,V15:V18)</f>
        <v>0</v>
      </c>
      <c r="W19" s="927">
        <f>SUBTOTAL(9,W15:W18)</f>
        <v>0</v>
      </c>
      <c r="X19" s="924" t="str">
        <f>IF(ISNUMBER((W19*factor_trimestre)/Datos!CN19),(W19*factor_trimestre)/Datos!CN19,"-")</f>
        <v>-</v>
      </c>
      <c r="Y19" s="927">
        <f t="shared" ref="Y19:AN19" si="5">SUBTOTAL(9,Y15:Y18)</f>
        <v>433</v>
      </c>
      <c r="Z19" s="927">
        <f t="shared" si="5"/>
        <v>17</v>
      </c>
      <c r="AA19" s="927">
        <f t="shared" si="5"/>
        <v>1424</v>
      </c>
      <c r="AB19" s="927">
        <f t="shared" si="5"/>
        <v>0</v>
      </c>
      <c r="AC19" s="927">
        <f t="shared" si="5"/>
        <v>0</v>
      </c>
      <c r="AD19" s="927">
        <f t="shared" si="5"/>
        <v>0</v>
      </c>
      <c r="AE19" s="927">
        <f t="shared" si="5"/>
        <v>55</v>
      </c>
      <c r="AF19" s="927">
        <f t="shared" si="5"/>
        <v>0</v>
      </c>
      <c r="AG19" s="927">
        <f t="shared" si="5"/>
        <v>0</v>
      </c>
      <c r="AH19" s="927">
        <f t="shared" si="5"/>
        <v>0</v>
      </c>
      <c r="AI19" s="927">
        <f t="shared" si="5"/>
        <v>0</v>
      </c>
      <c r="AJ19" s="927">
        <f t="shared" si="5"/>
        <v>90</v>
      </c>
      <c r="AK19" s="927">
        <f t="shared" si="5"/>
        <v>262</v>
      </c>
      <c r="AL19" s="927">
        <f t="shared" si="5"/>
        <v>0</v>
      </c>
      <c r="AM19" s="927">
        <f t="shared" si="5"/>
        <v>0</v>
      </c>
      <c r="AN19" s="927">
        <f t="shared" si="5"/>
        <v>0</v>
      </c>
      <c r="AO19" s="929">
        <f>IF(ISNUMBER(((NºAsuntos!I19/NºAsuntos!G19)*11)/factor_trimestre),((NºAsuntos!I19/NºAsuntos!G19)*11)/factor_trimestre," - ")</f>
        <v>9.8660508083140872</v>
      </c>
      <c r="AP19" s="925" t="str">
        <f>IF(ISNUMBER(Datos!CI19/Datos!CJ19),Datos!CI19/Datos!CJ19," - ")</f>
        <v xml:space="preserve"> - </v>
      </c>
      <c r="AQ19" s="930">
        <f t="shared" ref="AQ19:AV19" si="6">SUBTOTAL(9,AQ15:AQ18)</f>
        <v>0</v>
      </c>
      <c r="AR19" s="930">
        <f t="shared" si="6"/>
        <v>0</v>
      </c>
      <c r="AS19" s="925">
        <f t="shared" si="6"/>
        <v>0</v>
      </c>
      <c r="AT19" s="925">
        <f t="shared" si="6"/>
        <v>0</v>
      </c>
      <c r="AU19" s="925">
        <f t="shared" si="6"/>
        <v>0</v>
      </c>
      <c r="AV19" s="925">
        <f t="shared" si="6"/>
        <v>0</v>
      </c>
      <c r="AW19" s="925"/>
      <c r="AX19" s="925"/>
      <c r="BU19" s="903"/>
      <c r="BZ19" s="1181"/>
    </row>
    <row r="20" spans="1:78" ht="18.75" customHeight="1" thickTop="1" thickBot="1">
      <c r="A20" s="171"/>
      <c r="B20" s="171"/>
      <c r="C20" s="815" t="str">
        <f>Datos!A20</f>
        <v>TOTAL JURISDICCIONES</v>
      </c>
      <c r="D20" s="816"/>
      <c r="E20" s="1165">
        <f t="shared" ref="E20:O20" si="7">SUBTOTAL(9,E9:E19)</f>
        <v>6</v>
      </c>
      <c r="F20" s="817">
        <f t="shared" si="7"/>
        <v>1541</v>
      </c>
      <c r="G20" s="817">
        <f t="shared" si="7"/>
        <v>1396</v>
      </c>
      <c r="H20" s="818">
        <f t="shared" si="7"/>
        <v>0</v>
      </c>
      <c r="I20" s="817">
        <f t="shared" si="7"/>
        <v>0</v>
      </c>
      <c r="J20" s="819">
        <f t="shared" si="7"/>
        <v>0</v>
      </c>
      <c r="K20" s="817">
        <f t="shared" si="7"/>
        <v>0</v>
      </c>
      <c r="L20" s="820">
        <f t="shared" si="7"/>
        <v>0</v>
      </c>
      <c r="M20" s="817">
        <f t="shared" si="7"/>
        <v>0</v>
      </c>
      <c r="N20" s="818">
        <f t="shared" si="7"/>
        <v>237</v>
      </c>
      <c r="O20" s="818">
        <f t="shared" si="7"/>
        <v>0</v>
      </c>
      <c r="P20" s="1118">
        <f>IF(ISNUMBER(AVERAGE(P8:P19)),AVERAGE(P8:P19),"-")</f>
        <v>0</v>
      </c>
      <c r="Q20" s="1118">
        <f>IF(ISNUMBER(AVERAGE(Q8:Q19)),AVERAGE(Q8:Q19),"-")</f>
        <v>0</v>
      </c>
      <c r="R20" s="818">
        <f>SUBTOTAL(9,R9:R19)</f>
        <v>0</v>
      </c>
      <c r="S20" s="1118">
        <f>IF(ISNUMBER(AVERAGE(S8:S19)),AVERAGE(S8:S19),"-")</f>
        <v>0</v>
      </c>
      <c r="T20" s="877">
        <f>SUBTOTAL(9,T9:T19)</f>
        <v>0</v>
      </c>
      <c r="U20" s="989" t="e">
        <f>SUBTOTAL(9,U9:U19)</f>
        <v>#VALUE!</v>
      </c>
      <c r="V20" s="822">
        <f>SUBTOTAL(9,V9:V19)</f>
        <v>0</v>
      </c>
      <c r="W20" s="817">
        <f>SUBTOTAL(9,W9:W19)</f>
        <v>0</v>
      </c>
      <c r="X20" s="823">
        <f>IF(ISNUMBER(AVERAGE(X8:X19)),AVERAGE(X8:X19),"-")</f>
        <v>0</v>
      </c>
      <c r="Y20" s="824">
        <f t="shared" ref="Y20:AM20" si="8">SUBTOTAL(9,Y9:Y19)</f>
        <v>433</v>
      </c>
      <c r="Z20" s="824">
        <f t="shared" si="8"/>
        <v>296</v>
      </c>
      <c r="AA20" s="825">
        <f t="shared" si="8"/>
        <v>1424</v>
      </c>
      <c r="AB20" s="825">
        <f t="shared" si="8"/>
        <v>0</v>
      </c>
      <c r="AC20" s="825">
        <f t="shared" si="8"/>
        <v>0</v>
      </c>
      <c r="AD20" s="826">
        <f t="shared" si="8"/>
        <v>0</v>
      </c>
      <c r="AE20" s="826">
        <f t="shared" si="8"/>
        <v>2907</v>
      </c>
      <c r="AF20" s="827">
        <f t="shared" si="8"/>
        <v>0</v>
      </c>
      <c r="AG20" s="828">
        <f t="shared" si="8"/>
        <v>0</v>
      </c>
      <c r="AH20" s="829">
        <f t="shared" si="8"/>
        <v>0</v>
      </c>
      <c r="AI20" s="827">
        <f t="shared" si="8"/>
        <v>0</v>
      </c>
      <c r="AJ20" s="817">
        <f t="shared" si="8"/>
        <v>333</v>
      </c>
      <c r="AK20" s="817">
        <f t="shared" si="8"/>
        <v>462</v>
      </c>
      <c r="AL20" s="817">
        <f t="shared" si="8"/>
        <v>0</v>
      </c>
      <c r="AM20" s="830">
        <f t="shared" si="8"/>
        <v>0</v>
      </c>
      <c r="AN20" s="820">
        <f>IF(ISNUMBER(Datos!K20/Datos!J20),Datos!K20/Datos!J20," - ")</f>
        <v>1.1623740201567749</v>
      </c>
      <c r="AO20" s="820">
        <f>IF(ISNUMBER(FIND("06",Criterios!A8,1)),(IF(ISNUMBER(((Datos!R20/Datos!Q20)*11)/factor_trimestre),((Datos!R20/Datos!Q20)*11)/factor_trimestre," - ")),(IF(ISNUMBER(((Datos!L20/Datos!K20)*11)/factor_trimestre),((Datos!L20/Datos!K20)*11)/factor_trimestre," - ")))</f>
        <v>8.8526011560693636</v>
      </c>
      <c r="AP20" s="831" t="str">
        <f>IF(ISNUMBER(Datos!CI20/Datos!CJ20),Datos!CI20/Datos!CJ20," - ")</f>
        <v xml:space="preserve"> - </v>
      </c>
      <c r="AQ20" s="831">
        <f>IF(OR(ISNUMBER(FIND("01",Criterios!A8,1)),ISNUMBER(FIND("02",Criterios!A8,1)),ISNUMBER(FIND("03",Criterios!A8,1)),ISNUMBER(FIND("04",Criterios!A8,1))),(J20-Y20+K20)/(F20-K20),(I20-Y20+K20)/(F20-K20))</f>
        <v>-0.28098637248539909</v>
      </c>
      <c r="AR20" s="831">
        <f>IF(ISNUMBER((Datos!P20-Datos!Q20+O20)/(Datos!R20-Datos!P20+Datos!Q20-O20)),(Datos!P20-Datos!Q20+O20)/(Datos!R20-Datos!P20+Datos!Q20-O20)," - ")</f>
        <v>-1.9892110586648686E-2</v>
      </c>
      <c r="AS20" s="832">
        <f>SUBTOTAL(9,AS9:AS19)</f>
        <v>0</v>
      </c>
      <c r="AT20" s="832">
        <f>SUBTOTAL(9,AT9:AT19)</f>
        <v>0</v>
      </c>
      <c r="AU20" s="832">
        <f>SUBTOTAL(9,AU9:AU19)</f>
        <v>0</v>
      </c>
      <c r="AV20" s="832">
        <f>SUBTOTAL(9,AV9:AV19)</f>
        <v>0</v>
      </c>
      <c r="AW20" s="833"/>
      <c r="AX20" s="834"/>
      <c r="BU20" s="915"/>
    </row>
    <row r="21" spans="1:78" ht="18.75" customHeight="1" thickTop="1" thickBot="1">
      <c r="A21" s="166"/>
      <c r="B21" s="166">
        <f>'Indicadores IV'!B21</f>
        <v>0</v>
      </c>
      <c r="C21" s="835" t="s">
        <v>265</v>
      </c>
      <c r="D21" s="836"/>
      <c r="E21" s="1166">
        <f ca="1">IF(ISNUMBER(SUMIF($B8:$B19,$B21,E8:E19)/INDIRECT("Datos!AP"&amp;ROW()-1)),SUMIF($B8:$B19,$B21,E8:E19)/INDIRECT("Datos!AP"&amp;ROW()-1),"-")</f>
        <v>0</v>
      </c>
      <c r="F21" s="810">
        <f ca="1">IF(ISNUMBER(SUMIF($B8:$B19,$B21,F8:F19)/INDIRECT("Datos!AP"&amp;ROW()-1)),SUMIF($B8:$B19,$B21,F8:F19)/INDIRECT("Datos!AP"&amp;ROW()-1),"-")</f>
        <v>0</v>
      </c>
      <c r="G21" s="810">
        <f>IF(ISNUMBER(AVERAGE(G8:G19)),AVERAGE(G8:G19),"-")</f>
        <v>558.4</v>
      </c>
      <c r="H21" s="810">
        <f t="shared" ref="H21:AO21" ca="1" si="9">IF(ISNUMBER(SUMIF($B8:$B19,$B21,H8:H19)/INDIRECT("Datos!AP"&amp;ROW()-1)),SUMIF($B8:$B19,$B21,H8:H19)/INDIRECT("Datos!AP"&amp;ROW()-1),"-")</f>
        <v>0</v>
      </c>
      <c r="I21" s="810">
        <f t="shared" ca="1" si="9"/>
        <v>0</v>
      </c>
      <c r="J21" s="812">
        <f t="shared" ca="1" si="9"/>
        <v>0</v>
      </c>
      <c r="K21" s="810">
        <f t="shared" ca="1" si="9"/>
        <v>0</v>
      </c>
      <c r="L21" s="810">
        <f t="shared" ca="1" si="9"/>
        <v>0</v>
      </c>
      <c r="M21" s="810">
        <f t="shared" ca="1" si="9"/>
        <v>0</v>
      </c>
      <c r="N21" s="810">
        <f t="shared" ca="1" si="9"/>
        <v>0</v>
      </c>
      <c r="O21" s="810">
        <f t="shared" ca="1" si="9"/>
        <v>0</v>
      </c>
      <c r="P21" s="1119">
        <f t="shared" ca="1" si="9"/>
        <v>0</v>
      </c>
      <c r="Q21" s="1119">
        <f t="shared" ca="1" si="9"/>
        <v>0</v>
      </c>
      <c r="R21" s="810">
        <f t="shared" ca="1" si="9"/>
        <v>0</v>
      </c>
      <c r="S21" s="1119">
        <f t="shared" ca="1" si="9"/>
        <v>0</v>
      </c>
      <c r="T21" s="812">
        <f t="shared" ca="1" si="9"/>
        <v>0</v>
      </c>
      <c r="U21" s="990">
        <f t="shared" ca="1" si="9"/>
        <v>0</v>
      </c>
      <c r="V21" s="837">
        <f t="shared" ca="1" si="9"/>
        <v>0</v>
      </c>
      <c r="W21" s="810">
        <f t="shared" ca="1" si="9"/>
        <v>0</v>
      </c>
      <c r="X21" s="838">
        <f t="shared" ca="1" si="9"/>
        <v>0</v>
      </c>
      <c r="Y21" s="811">
        <f t="shared" ca="1" si="9"/>
        <v>0</v>
      </c>
      <c r="Z21" s="811">
        <f t="shared" ca="1" si="9"/>
        <v>0</v>
      </c>
      <c r="AA21" s="811">
        <f t="shared" ca="1" si="9"/>
        <v>0</v>
      </c>
      <c r="AB21" s="811">
        <f t="shared" ca="1" si="9"/>
        <v>0</v>
      </c>
      <c r="AC21" s="811">
        <f t="shared" ca="1" si="9"/>
        <v>0</v>
      </c>
      <c r="AD21" s="839">
        <f t="shared" ca="1" si="9"/>
        <v>0</v>
      </c>
      <c r="AE21" s="839">
        <f t="shared" ca="1" si="9"/>
        <v>0</v>
      </c>
      <c r="AF21" s="812">
        <f t="shared" ca="1" si="9"/>
        <v>0</v>
      </c>
      <c r="AG21" s="840">
        <f t="shared" ca="1" si="9"/>
        <v>0</v>
      </c>
      <c r="AH21" s="839">
        <f t="shared" ca="1" si="9"/>
        <v>0</v>
      </c>
      <c r="AI21" s="812">
        <f t="shared" ca="1" si="9"/>
        <v>0</v>
      </c>
      <c r="AJ21" s="810">
        <f t="shared" ca="1" si="9"/>
        <v>0</v>
      </c>
      <c r="AK21" s="810">
        <f t="shared" ca="1" si="9"/>
        <v>0</v>
      </c>
      <c r="AL21" s="810">
        <f t="shared" ca="1" si="9"/>
        <v>0</v>
      </c>
      <c r="AM21" s="812">
        <f t="shared" ca="1" si="9"/>
        <v>0</v>
      </c>
      <c r="AN21" s="810">
        <f t="shared" ca="1" si="9"/>
        <v>0</v>
      </c>
      <c r="AO21" s="810">
        <f t="shared" ca="1" si="9"/>
        <v>0</v>
      </c>
      <c r="AP21" s="831" t="e">
        <f ca="1">INDIRECT("Datos!CI"&amp;ROW()-1)/INDIRECT("Datos!CJ"&amp;ROW()-1)</f>
        <v>#DIV/0!</v>
      </c>
      <c r="AQ21" s="831" t="e">
        <f ca="1">IF(OR(ISNUMBER(FIND("01",Criterios!A8,1)),ISNUMBER(FIND("02",Criterios!A8,1)),ISNUMBER(FIND("03",Criterios!A8,1)),ISNUMBER(FIND("04",Criterios!A8,1))),(J21-Y21+K21)/(F21-K21),(I21-Y21+K21)/(F21-K21))</f>
        <v>#DIV/0!</v>
      </c>
      <c r="AR21" s="841">
        <f t="shared" ref="AR21:AW21" ca="1" si="10">IF(ISNUMBER(SUMIF($B8:$B19,$B21,AR8:AR19)/INDIRECT("Datos!AP"&amp;ROW()-1)),SUMIF($B8:$B19,$B21,AR8:AR19)/INDIRECT("Datos!AP"&amp;ROW()-1),"-")</f>
        <v>0</v>
      </c>
      <c r="AS21" s="842">
        <f t="shared" ca="1" si="10"/>
        <v>0</v>
      </c>
      <c r="AT21" s="842">
        <f t="shared" ca="1" si="10"/>
        <v>0</v>
      </c>
      <c r="AU21" s="842">
        <f t="shared" ca="1" si="10"/>
        <v>0</v>
      </c>
      <c r="AV21" s="842">
        <f t="shared" ca="1" si="10"/>
        <v>0</v>
      </c>
      <c r="AW21" s="842">
        <f t="shared" ca="1" si="10"/>
        <v>0</v>
      </c>
      <c r="AX21" s="842"/>
      <c r="BU21" s="922"/>
    </row>
    <row r="22" spans="1:78" ht="18.75" hidden="1" customHeight="1" thickTop="1" thickBot="1">
      <c r="A22" s="167"/>
      <c r="B22" s="167"/>
      <c r="C22" s="529" t="s">
        <v>266</v>
      </c>
      <c r="D22" s="340"/>
      <c r="E22" s="579"/>
      <c r="F22" s="251">
        <f>IF(ISNUMBER(STDEV(F8:F19)),STDEV(F8:F19),"-")</f>
        <v>889.69676482121338</v>
      </c>
      <c r="G22" s="551">
        <f>IF(ISNUMBER(STDEV(G8:G19)),STDEV(G8:G19),"-")</f>
        <v>758.71951339081829</v>
      </c>
      <c r="H22" s="254"/>
      <c r="I22" s="251">
        <f>IF(ISNUMBER(STDEV(I8:I19)),STDEV(I8:I19),"-")</f>
        <v>0</v>
      </c>
      <c r="J22" s="253">
        <f>IF(ISNUMBER(STDEV(J8:J19)),STDEV(J8:J19),"-")</f>
        <v>0</v>
      </c>
      <c r="K22" s="603"/>
      <c r="L22" s="603"/>
      <c r="M22" s="603"/>
      <c r="N22" s="254"/>
      <c r="O22" s="254"/>
      <c r="P22" s="1120"/>
      <c r="Q22" s="1120"/>
      <c r="R22" s="254"/>
      <c r="S22" s="1122"/>
      <c r="T22" s="300"/>
      <c r="U22" s="991"/>
      <c r="V22" s="603"/>
      <c r="W22" s="251">
        <f>IF(ISNUMBER(STDEV(W8:W19)),STDEV(W8:W19),"-")</f>
        <v>0</v>
      </c>
      <c r="X22" s="312">
        <f>IF(ISNUMBER(STDEV(X8:X19)),STDEV(X8:X19),"-")</f>
        <v>0</v>
      </c>
      <c r="Y22" s="281"/>
      <c r="Z22" s="281"/>
      <c r="AA22" s="281"/>
      <c r="AB22" s="281"/>
      <c r="AC22" s="281"/>
      <c r="AD22" s="281"/>
      <c r="AE22" s="281"/>
      <c r="AF22" s="253">
        <f>IF(ISNUMBER(STDEV(AF8:AF19)),STDEV(AF8:AF19),"-")</f>
        <v>0</v>
      </c>
      <c r="AG22" s="254">
        <f>IF(ISNUMBER(STDEV(AG8:AG19)),STDEV(AG8:AG19),"-")</f>
        <v>0</v>
      </c>
      <c r="AH22" s="281">
        <f>IF(ISNUMBER(STDEV(AH8:AH19)),STDEV(AH8:AH19),"-")</f>
        <v>0</v>
      </c>
      <c r="AI22" s="296"/>
      <c r="AJ22" s="251">
        <f>IF(ISNUMBER(STDEV(AJ8:AJ19)),STDEV(AJ8:AJ19),"-")</f>
        <v>109.88357475073333</v>
      </c>
      <c r="AK22" s="251"/>
      <c r="AL22" s="251">
        <f>IF(ISNUMBER(STDEV(AL8:AL19)),STDEV(AL8:AL19),"-")</f>
        <v>0</v>
      </c>
      <c r="AM22" s="253">
        <f>IF(ISNUMBER(STDEV(AM8:AM19)),STDEV(AM8:AM19),"-")</f>
        <v>0</v>
      </c>
      <c r="AN22" s="538">
        <f>IF(ISNUMBER(STDEV(AN8:AN19)),STDEV(AN8:AN19),"-")</f>
        <v>0</v>
      </c>
      <c r="AO22" s="539">
        <f>IF(ISNUMBER(STDEV(AO8:AO19)),STDEV(AO8:AO19),"-")</f>
        <v>1.1203741716306517</v>
      </c>
      <c r="AP22" s="540" t="str">
        <f>IF(ISNUMBER(STDEV(AP8:AP19)),STDEV(AP8:AP19),"-")</f>
        <v>-</v>
      </c>
      <c r="AQ22" s="296"/>
      <c r="AR22" s="296"/>
      <c r="AS22" s="296"/>
      <c r="AT22" s="296"/>
      <c r="AU22" s="296"/>
      <c r="AV22" s="296"/>
      <c r="AW22" s="300">
        <f>IF(ISNUMBER(STDEV(AW8:AW19)),STDEV(AW8:AW19),"-")</f>
        <v>0</v>
      </c>
      <c r="AX22" s="541">
        <f>IF(ISNUMBER(STDEV(AX8:AX19)),STDEV(AX8:AX19),"-")</f>
        <v>0</v>
      </c>
      <c r="BU22" s="562">
        <f>IF(ISNUMBER(STDEV(BU8:BU19)),STDEV(BU8:BU19),"-")</f>
        <v>273.54865677062884</v>
      </c>
    </row>
    <row r="23" spans="1:78" ht="12" customHeight="1" thickTop="1" thickBot="1">
      <c r="C23" s="530"/>
      <c r="D23" s="73"/>
      <c r="E23" s="73"/>
      <c r="F23" s="542"/>
      <c r="G23" s="563"/>
      <c r="H23" s="542"/>
      <c r="I23" s="542"/>
      <c r="K23" s="604"/>
      <c r="L23" s="604"/>
      <c r="M23" s="604"/>
      <c r="N23" s="542"/>
      <c r="O23" s="542"/>
      <c r="P23" s="1121"/>
      <c r="Q23" s="1121"/>
      <c r="R23" s="589"/>
      <c r="S23" s="1121"/>
      <c r="T23" s="95"/>
      <c r="U23" s="619"/>
      <c r="V23" s="604"/>
      <c r="W23" s="542"/>
      <c r="X23" s="543"/>
      <c r="Y23" s="589"/>
      <c r="Z23" s="589"/>
      <c r="AA23" s="542"/>
      <c r="AB23" s="542"/>
      <c r="AC23" s="542"/>
      <c r="AD23" s="542"/>
      <c r="AE23" s="542"/>
      <c r="AF23" s="542"/>
      <c r="AG23" s="542"/>
      <c r="AH23" s="542"/>
      <c r="AI23" s="542"/>
      <c r="AJ23" s="542"/>
      <c r="AK23" s="542"/>
      <c r="AL23" s="542"/>
      <c r="AM23" s="542"/>
      <c r="AN23" s="542"/>
      <c r="AO23" s="542"/>
      <c r="AP23" s="543"/>
      <c r="AQ23" s="589"/>
      <c r="AR23" s="589"/>
      <c r="AS23" s="589"/>
      <c r="AT23" s="589"/>
      <c r="AU23" s="589"/>
      <c r="AV23" s="589"/>
      <c r="AW23" s="544"/>
      <c r="AX23" s="542"/>
      <c r="BU23" s="563"/>
    </row>
    <row r="24" spans="1:78" ht="15" thickBot="1">
      <c r="C24" s="485"/>
      <c r="D24" s="537"/>
      <c r="E24" s="537"/>
      <c r="F24" s="545"/>
      <c r="G24" s="545"/>
      <c r="H24" s="545"/>
      <c r="I24" s="545"/>
      <c r="J24" s="545"/>
      <c r="K24" s="605"/>
      <c r="L24" s="605"/>
      <c r="M24" s="605"/>
      <c r="N24" s="545"/>
      <c r="O24" s="545"/>
      <c r="P24" s="547"/>
      <c r="Q24" s="547"/>
      <c r="R24" s="590"/>
      <c r="S24" s="1123"/>
      <c r="T24" s="1019"/>
      <c r="U24" s="546"/>
      <c r="V24" s="1018"/>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5" thickBot="1">
      <c r="C25" s="485"/>
      <c r="D25" s="537"/>
      <c r="E25" s="537"/>
      <c r="F25" s="545"/>
      <c r="G25" s="545"/>
      <c r="H25" s="545"/>
      <c r="I25" s="545"/>
      <c r="J25" s="545"/>
      <c r="K25" s="605"/>
      <c r="L25" s="605"/>
      <c r="M25" s="605"/>
      <c r="N25" s="545"/>
      <c r="O25" s="545"/>
      <c r="P25" s="547"/>
      <c r="Q25" s="547"/>
      <c r="R25" s="590"/>
      <c r="S25" s="1123"/>
      <c r="T25" s="545"/>
      <c r="U25" s="546"/>
      <c r="V25" s="1018"/>
      <c r="W25" s="545"/>
      <c r="X25" s="547"/>
      <c r="Y25" s="590"/>
      <c r="Z25" s="590"/>
      <c r="AA25" s="545"/>
      <c r="AB25" s="545"/>
      <c r="AC25" s="545"/>
      <c r="AD25" s="545"/>
      <c r="AE25" s="545"/>
      <c r="AF25" s="548"/>
      <c r="AG25" s="545"/>
      <c r="AH25" s="545"/>
      <c r="AI25" s="545"/>
      <c r="AJ25" s="545"/>
      <c r="AK25" s="545"/>
      <c r="AL25" s="545"/>
      <c r="AM25" s="545"/>
      <c r="AN25" s="545"/>
      <c r="AO25" s="545"/>
      <c r="AP25" s="546"/>
      <c r="AQ25" s="590"/>
      <c r="AR25" s="590"/>
      <c r="AS25" s="590"/>
      <c r="AT25" s="590"/>
      <c r="AU25" s="590"/>
      <c r="AV25" s="590"/>
      <c r="AW25" s="549"/>
      <c r="AX25" s="549"/>
      <c r="BU25" s="570"/>
    </row>
    <row r="26" spans="1:78" ht="12.75" hidden="1" customHeight="1">
      <c r="C26" s="293" t="s">
        <v>263</v>
      </c>
      <c r="D26" s="520"/>
      <c r="E26" s="580">
        <f t="shared" ref="E26:O26" si="11">E24+2*E25</f>
        <v>0</v>
      </c>
      <c r="F26" s="508">
        <f t="shared" si="11"/>
        <v>0</v>
      </c>
      <c r="G26" s="502">
        <f t="shared" si="11"/>
        <v>0</v>
      </c>
      <c r="H26" s="522">
        <f t="shared" si="11"/>
        <v>0</v>
      </c>
      <c r="I26" s="522">
        <f t="shared" si="11"/>
        <v>0</v>
      </c>
      <c r="J26" s="141">
        <f t="shared" si="11"/>
        <v>0</v>
      </c>
      <c r="K26" s="522">
        <f t="shared" si="11"/>
        <v>0</v>
      </c>
      <c r="L26" s="522">
        <f t="shared" si="11"/>
        <v>0</v>
      </c>
      <c r="M26" s="522">
        <f t="shared" si="11"/>
        <v>0</v>
      </c>
      <c r="N26" s="522">
        <f t="shared" si="11"/>
        <v>0</v>
      </c>
      <c r="O26" s="522">
        <f t="shared" si="11"/>
        <v>0</v>
      </c>
      <c r="P26" s="523">
        <f t="shared" ref="P26:Z26" si="12">P24+2*P25</f>
        <v>0</v>
      </c>
      <c r="Q26" s="523">
        <f t="shared" si="12"/>
        <v>0</v>
      </c>
      <c r="R26" s="522">
        <f t="shared" si="12"/>
        <v>0</v>
      </c>
      <c r="S26" s="612">
        <f t="shared" si="12"/>
        <v>0</v>
      </c>
      <c r="T26" s="615">
        <f t="shared" si="12"/>
        <v>0</v>
      </c>
      <c r="U26" s="612">
        <f t="shared" si="12"/>
        <v>0</v>
      </c>
      <c r="V26" s="615">
        <f>V24+2*V25</f>
        <v>0</v>
      </c>
      <c r="W26" s="522">
        <f t="shared" si="12"/>
        <v>0</v>
      </c>
      <c r="X26" s="523">
        <f t="shared" si="12"/>
        <v>0</v>
      </c>
      <c r="Y26" s="583">
        <f t="shared" si="12"/>
        <v>0</v>
      </c>
      <c r="Z26" s="583">
        <f t="shared" si="12"/>
        <v>0</v>
      </c>
      <c r="AA26" s="522">
        <f t="shared" ref="AA26:AR26" si="13">AA24+2*AA25</f>
        <v>0</v>
      </c>
      <c r="AB26" s="522">
        <f t="shared" si="13"/>
        <v>0</v>
      </c>
      <c r="AC26" s="522">
        <f t="shared" si="13"/>
        <v>0</v>
      </c>
      <c r="AD26" s="522">
        <f t="shared" si="13"/>
        <v>0</v>
      </c>
      <c r="AE26" s="522">
        <f t="shared" si="13"/>
        <v>0</v>
      </c>
      <c r="AF26" s="522">
        <f t="shared" si="13"/>
        <v>0</v>
      </c>
      <c r="AG26" s="522">
        <f t="shared" si="13"/>
        <v>0</v>
      </c>
      <c r="AH26" s="522">
        <f t="shared" si="13"/>
        <v>0</v>
      </c>
      <c r="AI26" s="522">
        <f t="shared" si="13"/>
        <v>0</v>
      </c>
      <c r="AJ26" s="522">
        <f t="shared" si="13"/>
        <v>0</v>
      </c>
      <c r="AK26" s="522">
        <f t="shared" si="13"/>
        <v>0</v>
      </c>
      <c r="AL26" s="522">
        <f t="shared" si="13"/>
        <v>0</v>
      </c>
      <c r="AM26" s="522">
        <f t="shared" si="13"/>
        <v>0</v>
      </c>
      <c r="AN26" s="531">
        <f t="shared" si="13"/>
        <v>0</v>
      </c>
      <c r="AO26" s="531">
        <f t="shared" si="13"/>
        <v>0</v>
      </c>
      <c r="AP26" s="523">
        <f t="shared" si="13"/>
        <v>0</v>
      </c>
      <c r="AQ26" s="523">
        <f t="shared" si="13"/>
        <v>0</v>
      </c>
      <c r="AR26" s="523">
        <f t="shared" si="13"/>
        <v>0</v>
      </c>
      <c r="AS26" s="583">
        <f>AS24+2*AS25</f>
        <v>0</v>
      </c>
      <c r="AT26" s="583">
        <f>AT24+2*AT25</f>
        <v>0</v>
      </c>
      <c r="AU26" s="583">
        <f>AU24+2*AU25</f>
        <v>0</v>
      </c>
      <c r="AV26" s="583">
        <f>AV24+2*AV25</f>
        <v>0</v>
      </c>
      <c r="AW26" s="522">
        <f>(AW24-ultimoDiaTrim)+2*AW25</f>
        <v>0</v>
      </c>
      <c r="AX26" s="532"/>
      <c r="BU26" s="525"/>
    </row>
    <row r="27" spans="1:78" ht="12.75" hidden="1" customHeight="1">
      <c r="C27" s="293" t="s">
        <v>264</v>
      </c>
      <c r="D27" s="520"/>
      <c r="E27" s="503">
        <f>MIN(0,F24-2*F25)</f>
        <v>0</v>
      </c>
      <c r="F27" s="505">
        <f>MIN(0,I24-2*I25)</f>
        <v>0</v>
      </c>
      <c r="G27" s="502">
        <f>MIN(0,G24-2*G25)</f>
        <v>0</v>
      </c>
      <c r="H27" s="502">
        <f>MIN(0,H24-2*H25)</f>
        <v>0</v>
      </c>
      <c r="I27" s="502">
        <f>MIN(0,I24-2*I25)</f>
        <v>0</v>
      </c>
      <c r="J27" s="142">
        <f>MIN(0,J24-2*J25)</f>
        <v>0</v>
      </c>
      <c r="K27" s="502">
        <f t="shared" ref="K27:U27" si="14">MIN(0,K24-2*K25)</f>
        <v>0</v>
      </c>
      <c r="L27" s="502">
        <f t="shared" si="14"/>
        <v>0</v>
      </c>
      <c r="M27" s="502">
        <f t="shared" si="14"/>
        <v>0</v>
      </c>
      <c r="N27" s="502">
        <f t="shared" si="14"/>
        <v>0</v>
      </c>
      <c r="O27" s="502">
        <f t="shared" si="14"/>
        <v>0</v>
      </c>
      <c r="P27" s="524">
        <f t="shared" si="14"/>
        <v>0</v>
      </c>
      <c r="Q27" s="524">
        <f t="shared" si="14"/>
        <v>0</v>
      </c>
      <c r="R27" s="502">
        <f t="shared" si="14"/>
        <v>0</v>
      </c>
      <c r="S27" s="613">
        <f t="shared" si="14"/>
        <v>0</v>
      </c>
      <c r="T27" s="504">
        <f t="shared" si="14"/>
        <v>0</v>
      </c>
      <c r="U27" s="613">
        <f t="shared" si="14"/>
        <v>0</v>
      </c>
      <c r="V27" s="504">
        <f>MIN(0,V24-2*V25)</f>
        <v>0</v>
      </c>
      <c r="W27" s="502">
        <f>MIN(0,W24-2*W25)</f>
        <v>0</v>
      </c>
      <c r="X27" s="524">
        <f>MIN(0,X24-2*X25)</f>
        <v>0</v>
      </c>
      <c r="Y27" s="576">
        <f>MIN(0,Y24-2*Y25)</f>
        <v>0</v>
      </c>
      <c r="Z27" s="576">
        <f>MIN(0,Z24-2*Z25)</f>
        <v>0</v>
      </c>
      <c r="AA27" s="502">
        <f t="shared" ref="AA27:AH27" si="15">MIN(0,AA24-2*AA25)</f>
        <v>0</v>
      </c>
      <c r="AB27" s="502">
        <f t="shared" si="15"/>
        <v>0</v>
      </c>
      <c r="AC27" s="502">
        <f t="shared" si="15"/>
        <v>0</v>
      </c>
      <c r="AD27" s="502">
        <f t="shared" si="15"/>
        <v>0</v>
      </c>
      <c r="AE27" s="502">
        <f t="shared" si="15"/>
        <v>0</v>
      </c>
      <c r="AF27" s="502">
        <f t="shared" si="15"/>
        <v>0</v>
      </c>
      <c r="AG27" s="502">
        <f t="shared" si="15"/>
        <v>0</v>
      </c>
      <c r="AH27" s="502">
        <f t="shared" si="15"/>
        <v>0</v>
      </c>
      <c r="AI27" s="502">
        <f>MIN(0,AI24-2*AI25)</f>
        <v>0</v>
      </c>
      <c r="AJ27" s="502">
        <f t="shared" ref="AJ27:AR27" si="16">MIN(0,AJ24-2*AJ25)</f>
        <v>0</v>
      </c>
      <c r="AK27" s="502">
        <f t="shared" si="16"/>
        <v>0</v>
      </c>
      <c r="AL27" s="502">
        <f t="shared" si="16"/>
        <v>0</v>
      </c>
      <c r="AM27" s="502">
        <f t="shared" si="16"/>
        <v>0</v>
      </c>
      <c r="AN27" s="519">
        <f t="shared" si="16"/>
        <v>0</v>
      </c>
      <c r="AO27" s="519">
        <f t="shared" si="16"/>
        <v>0</v>
      </c>
      <c r="AP27" s="524">
        <f t="shared" si="16"/>
        <v>0</v>
      </c>
      <c r="AQ27" s="524">
        <f t="shared" si="16"/>
        <v>0</v>
      </c>
      <c r="AR27" s="524">
        <f t="shared" si="16"/>
        <v>0</v>
      </c>
      <c r="AS27" s="576">
        <f>MIN(0,AS24-2*AS25)</f>
        <v>0</v>
      </c>
      <c r="AT27" s="576">
        <f>MIN(0,AT24-2*AT25)</f>
        <v>0</v>
      </c>
      <c r="AU27" s="576">
        <f>MIN(0,AU24-2*AU25)</f>
        <v>0</v>
      </c>
      <c r="AV27" s="576">
        <f>MIN(0,AV24-2*AV25)</f>
        <v>0</v>
      </c>
      <c r="AW27" s="502">
        <f>MIN(0,(AW24-ultimoDiaTrim)-2*AW25)</f>
        <v>0</v>
      </c>
      <c r="AX27" s="525"/>
      <c r="BU27" s="525"/>
    </row>
    <row r="28" spans="1:78">
      <c r="C28" s="533"/>
      <c r="D28" s="71"/>
      <c r="E28" s="71"/>
    </row>
    <row r="31" spans="1:78">
      <c r="C31" s="534" t="str">
        <f>Criterios!A4</f>
        <v>Fecha Informe: 18 jun. 2026</v>
      </c>
    </row>
    <row r="33" spans="3:12" ht="13.5" thickBot="1">
      <c r="C33" s="535"/>
      <c r="D33" s="526"/>
      <c r="E33" s="526"/>
    </row>
    <row r="34" spans="3:12" ht="15" thickBot="1">
      <c r="L34" s="545"/>
    </row>
  </sheetData>
  <sheetProtection algorithmName="SHA-512" hashValue="nogEscZwsmsVSqIN5QLRhgVXOT+8UYsg1UX31XgxEwXJ7/7hRiCVCOcqCc7og+R4/TBZioibfbk8rg7hADusgg==" saltValue="oESx43wWJ7+8zRpquHU2T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8 F9:F12">
    <cfRule type="cellIs" dxfId="456" priority="2257" stopIfTrue="1" operator="notBetween">
      <formula>$F$26</formula>
      <formula>$F$27</formula>
    </cfRule>
  </conditionalFormatting>
  <conditionalFormatting sqref="F22:F25 F9:F19">
    <cfRule type="expression" dxfId="455" priority="393" stopIfTrue="1">
      <formula>IF(F9&lt;&gt;G9,TRUE,FALSE)</formula>
    </cfRule>
  </conditionalFormatting>
  <conditionalFormatting sqref="G10">
    <cfRule type="cellIs" dxfId="454" priority="535" stopIfTrue="1" operator="notBetween">
      <formula>$G$26</formula>
      <formula>$G$27</formula>
    </cfRule>
  </conditionalFormatting>
  <conditionalFormatting sqref="G13 G19">
    <cfRule type="expression" dxfId="453" priority="2259" stopIfTrue="1">
      <formula>IF($G$9&lt;&gt;$F$9,TRUE,FALSE)</formula>
    </cfRule>
  </conditionalFormatting>
  <conditionalFormatting sqref="H15:H18 H9:H12">
    <cfRule type="cellIs" dxfId="452" priority="418" stopIfTrue="1" operator="notBetween">
      <formula>$H$26</formula>
      <formula>$H$27</formula>
    </cfRule>
  </conditionalFormatting>
  <conditionalFormatting sqref="I9:I10 I15:I18">
    <cfRule type="cellIs" dxfId="451" priority="466" stopIfTrue="1" operator="notBetween">
      <formula>$I$26</formula>
      <formula>$I$27</formula>
    </cfRule>
  </conditionalFormatting>
  <conditionalFormatting sqref="I11:I12">
    <cfRule type="cellIs" dxfId="450" priority="2549" stopIfTrue="1" operator="greaterThan">
      <formula>#REF!</formula>
    </cfRule>
    <cfRule type="cellIs" dxfId="449" priority="2550" stopIfTrue="1" operator="lessThan">
      <formula>#REF!</formula>
    </cfRule>
  </conditionalFormatting>
  <conditionalFormatting sqref="K15:K18 K9:K12">
    <cfRule type="cellIs" dxfId="448" priority="465" stopIfTrue="1" operator="notBetween">
      <formula>$K$26</formula>
      <formula>$K$27</formula>
    </cfRule>
  </conditionalFormatting>
  <conditionalFormatting sqref="L15:L18">
    <cfRule type="cellIs" dxfId="447" priority="526" stopIfTrue="1" operator="notBetween">
      <formula>$L$26</formula>
      <formula>$L$27</formula>
    </cfRule>
  </conditionalFormatting>
  <conditionalFormatting sqref="M15:M18 M9:M12">
    <cfRule type="cellIs" dxfId="446" priority="464" stopIfTrue="1" operator="notBetween">
      <formula>$M$26</formula>
      <formula>$M$27</formula>
    </cfRule>
  </conditionalFormatting>
  <conditionalFormatting sqref="N15:N18 N9:N12">
    <cfRule type="cellIs" dxfId="445" priority="421" stopIfTrue="1" operator="notBetween">
      <formula>$N$26</formula>
      <formula>$N$27</formula>
    </cfRule>
  </conditionalFormatting>
  <conditionalFormatting sqref="O15:O18 O9:O12">
    <cfRule type="cellIs" dxfId="444" priority="420" stopIfTrue="1" operator="notBetween">
      <formula>$O$26</formula>
      <formula>$O$27</formula>
    </cfRule>
  </conditionalFormatting>
  <conditionalFormatting sqref="P15:P18 P9:P12">
    <cfRule type="cellIs" dxfId="443" priority="416" stopIfTrue="1" operator="notBetween">
      <formula>$P$26</formula>
      <formula>$P$27</formula>
    </cfRule>
  </conditionalFormatting>
  <conditionalFormatting sqref="Q15:Q18 Q9:Q12">
    <cfRule type="cellIs" dxfId="442" priority="415" stopIfTrue="1" operator="notBetween">
      <formula>$Q$26</formula>
      <formula>$Q$27</formula>
    </cfRule>
  </conditionalFormatting>
  <conditionalFormatting sqref="R9:R12">
    <cfRule type="cellIs" dxfId="441" priority="61" stopIfTrue="1" operator="notBetween">
      <formula>$R$26</formula>
      <formula>$R$27</formula>
    </cfRule>
  </conditionalFormatting>
  <conditionalFormatting sqref="R15:R18">
    <cfRule type="cellIs" dxfId="440" priority="57" stopIfTrue="1" operator="notBetween">
      <formula>$R$26</formula>
      <formula>$R$27</formula>
    </cfRule>
  </conditionalFormatting>
  <conditionalFormatting sqref="S9:S12">
    <cfRule type="cellIs" dxfId="439" priority="60" stopIfTrue="1" operator="notBetween">
      <formula>$S$26</formula>
      <formula>$S$27</formula>
    </cfRule>
  </conditionalFormatting>
  <conditionalFormatting sqref="S15:S18">
    <cfRule type="cellIs" dxfId="438" priority="56" stopIfTrue="1" operator="notBetween">
      <formula>$S$26</formula>
      <formula>$S$27</formula>
    </cfRule>
  </conditionalFormatting>
  <conditionalFormatting sqref="T9">
    <cfRule type="cellIs" dxfId="437" priority="167" stopIfTrue="1" operator="greaterThan">
      <formula>$BU$9</formula>
    </cfRule>
    <cfRule type="cellIs" dxfId="436" priority="168" stopIfTrue="1" operator="lessThan">
      <formula>$BU$9</formula>
    </cfRule>
  </conditionalFormatting>
  <conditionalFormatting sqref="T10">
    <cfRule type="cellIs" dxfId="435" priority="163" stopIfTrue="1" operator="greaterThan">
      <formula>$BU$10</formula>
    </cfRule>
    <cfRule type="cellIs" dxfId="434" priority="164" stopIfTrue="1" operator="lessThan">
      <formula>$BU$10</formula>
    </cfRule>
  </conditionalFormatting>
  <conditionalFormatting sqref="T11">
    <cfRule type="cellIs" dxfId="433" priority="159" stopIfTrue="1" operator="greaterThan">
      <formula>$BU$11</formula>
    </cfRule>
    <cfRule type="cellIs" dxfId="432" priority="160" stopIfTrue="1" operator="lessThan">
      <formula>$BU$11</formula>
    </cfRule>
  </conditionalFormatting>
  <conditionalFormatting sqref="T12">
    <cfRule type="cellIs" dxfId="431" priority="157" stopIfTrue="1" operator="greaterThan">
      <formula>$BU$12</formula>
    </cfRule>
    <cfRule type="cellIs" dxfId="430" priority="158" stopIfTrue="1" operator="lessThan">
      <formula>$BU$12</formula>
    </cfRule>
  </conditionalFormatting>
  <conditionalFormatting sqref="T15:T16">
    <cfRule type="cellIs" dxfId="429" priority="143" stopIfTrue="1" operator="greaterThan">
      <formula>$BU$15</formula>
    </cfRule>
    <cfRule type="cellIs" dxfId="428" priority="144" stopIfTrue="1" operator="lessThan">
      <formula>$BU$15</formula>
    </cfRule>
  </conditionalFormatting>
  <conditionalFormatting sqref="T17">
    <cfRule type="cellIs" dxfId="427" priority="141" stopIfTrue="1" operator="greaterThan">
      <formula>$BU$17</formula>
    </cfRule>
    <cfRule type="cellIs" dxfId="426" priority="142" stopIfTrue="1" operator="lessThan">
      <formula>$BU$17</formula>
    </cfRule>
  </conditionalFormatting>
  <conditionalFormatting sqref="T18">
    <cfRule type="cellIs" dxfId="425" priority="139" stopIfTrue="1" operator="greaterThan">
      <formula>$BU$18</formula>
    </cfRule>
    <cfRule type="cellIs" dxfId="424" priority="140" stopIfTrue="1" operator="lessThan">
      <formula>$BU$18</formula>
    </cfRule>
  </conditionalFormatting>
  <conditionalFormatting sqref="V15:V18 V9:V12">
    <cfRule type="cellIs" dxfId="423" priority="351" stopIfTrue="1" operator="notBetween">
      <formula>$V$26</formula>
      <formula>$V$27</formula>
    </cfRule>
  </conditionalFormatting>
  <conditionalFormatting sqref="W15:W18 W9:W12">
    <cfRule type="cellIs" dxfId="422" priority="445" stopIfTrue="1" operator="notBetween">
      <formula>$W$26</formula>
      <formula>$W$27</formula>
    </cfRule>
  </conditionalFormatting>
  <conditionalFormatting sqref="X15:X18 X9:X12">
    <cfRule type="cellIs" dxfId="421" priority="444" stopIfTrue="1" operator="notBetween">
      <formula>$X$26</formula>
      <formula>$X$27</formula>
    </cfRule>
  </conditionalFormatting>
  <conditionalFormatting sqref="Y15:Y18 Y9:Y12">
    <cfRule type="cellIs" dxfId="420" priority="443" stopIfTrue="1" operator="notBetween">
      <formula>$Y$26</formula>
      <formula>$Y$27</formula>
    </cfRule>
  </conditionalFormatting>
  <conditionalFormatting sqref="Z15:Z18 Z9:Z12">
    <cfRule type="cellIs" dxfId="419" priority="442" stopIfTrue="1" operator="notBetween">
      <formula>$Z$26</formula>
      <formula>$Z$27</formula>
    </cfRule>
  </conditionalFormatting>
  <conditionalFormatting sqref="AA15:AA18 AA9:AA12">
    <cfRule type="cellIs" dxfId="418" priority="388" stopIfTrue="1" operator="notBetween">
      <formula>$AA$26</formula>
      <formula>$AA$27</formula>
    </cfRule>
  </conditionalFormatting>
  <conditionalFormatting sqref="AB15:AB18 AB9:AB12">
    <cfRule type="cellIs" dxfId="417" priority="441" stopIfTrue="1" operator="notBetween">
      <formula>$AB$26</formula>
      <formula>$AB$27</formula>
    </cfRule>
  </conditionalFormatting>
  <conditionalFormatting sqref="AC15:AC18 AC9:AC12">
    <cfRule type="cellIs" dxfId="416" priority="440" stopIfTrue="1" operator="notBetween">
      <formula>$AC$26</formula>
      <formula>$AC$27</formula>
    </cfRule>
  </conditionalFormatting>
  <conditionalFormatting sqref="AD15:AD18 AD9:AD12">
    <cfRule type="cellIs" dxfId="415" priority="438" stopIfTrue="1" operator="notBetween">
      <formula>$AD$26</formula>
      <formula>$AD$27</formula>
    </cfRule>
  </conditionalFormatting>
  <conditionalFormatting sqref="AE15:AE18 AE9:AE12">
    <cfRule type="cellIs" dxfId="414" priority="437" stopIfTrue="1" operator="notBetween">
      <formula>$AE$26</formula>
      <formula>$AE$27</formula>
    </cfRule>
  </conditionalFormatting>
  <conditionalFormatting sqref="AF15:AF18 AF9:AF12">
    <cfRule type="cellIs" dxfId="413" priority="436" stopIfTrue="1" operator="notBetween">
      <formula>$AF$26</formula>
      <formula>$AF$27</formula>
    </cfRule>
  </conditionalFormatting>
  <conditionalFormatting sqref="AG15:AG18 AG9:AG12">
    <cfRule type="cellIs" dxfId="412" priority="435" stopIfTrue="1" operator="notBetween">
      <formula>$AG$26</formula>
      <formula>$AG$27</formula>
    </cfRule>
  </conditionalFormatting>
  <conditionalFormatting sqref="AH15:AH18 AH9:AH12">
    <cfRule type="cellIs" dxfId="411" priority="434" stopIfTrue="1" operator="notBetween">
      <formula>$AH$26</formula>
      <formula>$AH$27</formula>
    </cfRule>
  </conditionalFormatting>
  <conditionalFormatting sqref="AI15:AI18 AI9:AI12">
    <cfRule type="cellIs" dxfId="410" priority="433" stopIfTrue="1" operator="notBetween">
      <formula>$AI$26</formula>
      <formula>$AI$27</formula>
    </cfRule>
  </conditionalFormatting>
  <conditionalFormatting sqref="AJ15:AJ18 AJ9:AJ12">
    <cfRule type="cellIs" dxfId="409" priority="432" stopIfTrue="1" operator="notBetween">
      <formula>$AJ$26</formula>
      <formula>$AJ$27</formula>
    </cfRule>
  </conditionalFormatting>
  <conditionalFormatting sqref="AK15:AK18 AK9:AK12">
    <cfRule type="cellIs" dxfId="408" priority="431" stopIfTrue="1" operator="notBetween">
      <formula>$AK$26</formula>
      <formula>$AK$27</formula>
    </cfRule>
  </conditionalFormatting>
  <conditionalFormatting sqref="AL15:AL18 AL9:AL12">
    <cfRule type="cellIs" dxfId="407" priority="430" stopIfTrue="1" operator="notBetween">
      <formula>$AL$26</formula>
      <formula>$AL$27</formula>
    </cfRule>
  </conditionalFormatting>
  <conditionalFormatting sqref="AM15:AM18 AM9:AM12">
    <cfRule type="cellIs" dxfId="406" priority="429" stopIfTrue="1" operator="notBetween">
      <formula>$AM$26</formula>
      <formula>$AM$27</formula>
    </cfRule>
  </conditionalFormatting>
  <conditionalFormatting sqref="AN15:AN18 AN9:AN12">
    <cfRule type="cellIs" dxfId="405" priority="428" stopIfTrue="1" operator="notBetween">
      <formula>$AN$26</formula>
      <formula>$AN$27</formula>
    </cfRule>
  </conditionalFormatting>
  <conditionalFormatting sqref="AO9:AO12 AO14:AO19">
    <cfRule type="cellIs" dxfId="404" priority="690" stopIfTrue="1" operator="notBetween">
      <formula>$AO$26</formula>
      <formula>$AO$27</formula>
    </cfRule>
  </conditionalFormatting>
  <conditionalFormatting sqref="AP15:AP18 AP9:AP12">
    <cfRule type="cellIs" dxfId="403" priority="427" stopIfTrue="1" operator="notBetween">
      <formula>$AP$26</formula>
      <formula>$AP$27</formula>
    </cfRule>
  </conditionalFormatting>
  <conditionalFormatting sqref="AQ15:AQ18 AQ9:AQ12">
    <cfRule type="cellIs" dxfId="402" priority="426" stopIfTrue="1" operator="notBetween">
      <formula>$AQ$26</formula>
      <formula>$AQ$27</formula>
    </cfRule>
  </conditionalFormatting>
  <conditionalFormatting sqref="AR15:AR18 AR9:AR12">
    <cfRule type="cellIs" dxfId="401" priority="425" stopIfTrue="1" operator="notBetween">
      <formula>$AR$26</formula>
      <formula>$AR$27</formula>
    </cfRule>
  </conditionalFormatting>
  <conditionalFormatting sqref="AS15:AS18 AS9:AS12">
    <cfRule type="cellIs" dxfId="400" priority="424" stopIfTrue="1" operator="notBetween">
      <formula>$AS$26</formula>
      <formula>$AS$27</formula>
    </cfRule>
  </conditionalFormatting>
  <conditionalFormatting sqref="AT15:AT18 AT9:AT12">
    <cfRule type="cellIs" dxfId="399" priority="423" stopIfTrue="1" operator="notBetween">
      <formula>$AT$26</formula>
      <formula>$AT$27</formula>
    </cfRule>
  </conditionalFormatting>
  <conditionalFormatting sqref="AU15:AU18 AU9:AU12">
    <cfRule type="cellIs" dxfId="398" priority="23" stopIfTrue="1" operator="notBetween">
      <formula>$AU$26</formula>
      <formula>$AU$27</formula>
    </cfRule>
  </conditionalFormatting>
  <conditionalFormatting sqref="AV15:AV18 AV9:AV12">
    <cfRule type="cellIs" dxfId="397" priority="422" stopIfTrue="1" operator="notBetween">
      <formula>$AV$26</formula>
      <formula>$AV$27</formula>
    </cfRule>
  </conditionalFormatting>
  <conditionalFormatting sqref="AW9:AW12 AW14:AW18">
    <cfRule type="expression" dxfId="396" priority="5976" stopIfTrue="1">
      <formula>NOT(AND($AW9-ultimoDiaTrim&gt;=$AW$27,$AW9-ultimoDiaTrim&lt;=$AW$26))</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19"/>
      <c r="I1" s="619"/>
      <c r="J1" s="619"/>
    </row>
    <row r="2" spans="1:18">
      <c r="A2" s="467"/>
      <c r="B2" s="467"/>
      <c r="C2" s="374"/>
      <c r="D2" s="374"/>
      <c r="E2" s="374"/>
      <c r="F2" s="374"/>
      <c r="G2" s="374"/>
      <c r="H2" s="620"/>
      <c r="I2" s="620"/>
      <c r="J2" s="620"/>
      <c r="K2" s="371"/>
      <c r="L2" s="371"/>
      <c r="M2" s="371"/>
      <c r="N2" s="371"/>
      <c r="O2" s="371"/>
      <c r="P2" s="371"/>
      <c r="Q2" s="371"/>
    </row>
    <row r="3" spans="1:18" s="625" customFormat="1" ht="18.75" thickBot="1">
      <c r="A3" s="621"/>
      <c r="B3" s="621"/>
      <c r="C3" s="622" t="s">
        <v>620</v>
      </c>
      <c r="D3" s="622"/>
      <c r="E3" s="622"/>
      <c r="F3" s="622"/>
      <c r="G3" s="622" t="str">
        <f xml:space="preserve"> "Año: " &amp; Año &amp; "  Trimestres " &amp; TrimIni &amp; " al " &amp; TrimFin</f>
        <v>Año: 2026  Trimestres 1 al 1</v>
      </c>
      <c r="H3" s="623"/>
      <c r="I3" s="623"/>
      <c r="J3" s="623"/>
      <c r="K3" s="624"/>
      <c r="L3" s="624"/>
      <c r="M3" s="624"/>
      <c r="N3" s="624"/>
      <c r="O3" s="624"/>
      <c r="P3" s="624"/>
      <c r="Q3" s="624"/>
    </row>
    <row r="4" spans="1:18" ht="42" customHeight="1" thickBot="1">
      <c r="A4" s="1822" t="s">
        <v>621</v>
      </c>
      <c r="B4" s="1822" t="s">
        <v>723</v>
      </c>
      <c r="C4" s="1822" t="s">
        <v>622</v>
      </c>
      <c r="D4" s="1822" t="s">
        <v>683</v>
      </c>
      <c r="E4" s="1824" t="s">
        <v>684</v>
      </c>
      <c r="F4" s="1822" t="s">
        <v>623</v>
      </c>
      <c r="G4" s="1824" t="s">
        <v>453</v>
      </c>
      <c r="H4" s="1817" t="s">
        <v>624</v>
      </c>
      <c r="I4" s="1817" t="s">
        <v>625</v>
      </c>
      <c r="J4" s="1817" t="s">
        <v>626</v>
      </c>
      <c r="K4" s="1819" t="s">
        <v>273</v>
      </c>
      <c r="L4" s="1820"/>
      <c r="M4" s="1820"/>
      <c r="N4" s="1821"/>
      <c r="O4" s="1819" t="s">
        <v>448</v>
      </c>
      <c r="P4" s="1820"/>
      <c r="Q4" s="1820"/>
      <c r="R4" s="1821"/>
    </row>
    <row r="5" spans="1:18" ht="27.75" customHeight="1" thickBot="1">
      <c r="A5" s="1823"/>
      <c r="B5" s="1823"/>
      <c r="C5" s="1823"/>
      <c r="D5" s="1823"/>
      <c r="E5" s="1823"/>
      <c r="F5" s="1823"/>
      <c r="G5" s="1823"/>
      <c r="H5" s="1818"/>
      <c r="I5" s="1818"/>
      <c r="J5" s="1818"/>
      <c r="K5" s="843" t="s">
        <v>449</v>
      </c>
      <c r="L5" s="843" t="s">
        <v>450</v>
      </c>
      <c r="M5" s="843" t="s">
        <v>451</v>
      </c>
      <c r="N5" s="843" t="s">
        <v>452</v>
      </c>
      <c r="O5" s="844" t="s">
        <v>449</v>
      </c>
      <c r="P5" s="843" t="s">
        <v>450</v>
      </c>
      <c r="Q5" s="843" t="s">
        <v>451</v>
      </c>
      <c r="R5" s="843" t="s">
        <v>452</v>
      </c>
    </row>
  </sheetData>
  <sheetProtection algorithmName="SHA-512" hashValue="7YxVSkPKzjpga9jWDZShkMehZpXDHbAR/BnywudJhQZdzEg3/PxLPVj3KUJVTKOFk+lNZqD9jNpB3YZN4QdgTQ==" saltValue="vRIQWjBi5SRpw8d5duQ0U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8"/>
  <sheetViews>
    <sheetView topLeftCell="A6" zoomScale="85" zoomScaleNormal="85" workbookViewId="0">
      <selection activeCell="F26" sqref="F2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t="s">
        <v>257</v>
      </c>
      <c r="BO1" s="31" t="s">
        <v>258</v>
      </c>
      <c r="BP1" s="30" t="s">
        <v>259</v>
      </c>
      <c r="BQ1" s="50" t="s">
        <v>261</v>
      </c>
      <c r="BR1" s="31" t="s">
        <v>267</v>
      </c>
      <c r="BS1" s="30" t="s">
        <v>268</v>
      </c>
      <c r="BT1" s="50" t="s">
        <v>269</v>
      </c>
      <c r="BU1" s="31" t="s">
        <v>283</v>
      </c>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CADIZ</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t="s">
        <v>202</v>
      </c>
      <c r="BO5" s="1583"/>
      <c r="BP5" s="1582" t="s">
        <v>203</v>
      </c>
      <c r="BQ5" s="1583"/>
      <c r="BR5" s="1582" t="s">
        <v>204</v>
      </c>
      <c r="BS5" s="1583"/>
      <c r="BT5" s="1582" t="s">
        <v>205</v>
      </c>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741</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t="s">
        <v>162</v>
      </c>
      <c r="BO6" s="1580" t="s">
        <v>163</v>
      </c>
      <c r="BP6" s="1580" t="s">
        <v>162</v>
      </c>
      <c r="BQ6" s="1580" t="s">
        <v>163</v>
      </c>
      <c r="BR6" s="1580" t="s">
        <v>162</v>
      </c>
      <c r="BS6" s="1580" t="s">
        <v>163</v>
      </c>
      <c r="BT6" s="1580" t="s">
        <v>162</v>
      </c>
      <c r="BU6" s="1580" t="s">
        <v>163</v>
      </c>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50" t="s">
        <v>737</v>
      </c>
      <c r="ER8" s="50" t="s">
        <v>742</v>
      </c>
      <c r="ES8" s="469" t="s">
        <v>744</v>
      </c>
      <c r="ET8" s="1136" t="s">
        <v>780</v>
      </c>
      <c r="EU8" s="1136" t="s">
        <v>781</v>
      </c>
      <c r="EV8" s="151" t="s">
        <v>788</v>
      </c>
      <c r="EW8" s="151">
        <v>153</v>
      </c>
      <c r="EX8" s="469" t="s">
        <v>810</v>
      </c>
      <c r="EY8" s="469" t="s">
        <v>815</v>
      </c>
      <c r="EZ8" s="469" t="s">
        <v>859</v>
      </c>
    </row>
    <row r="9" spans="1:156" ht="14.25" customHeight="1">
      <c r="A9" s="20" t="s">
        <v>45</v>
      </c>
      <c r="B9" s="21" t="s">
        <v>403</v>
      </c>
      <c r="C9" s="22" t="s">
        <v>3</v>
      </c>
      <c r="D9" s="23" t="s">
        <v>20</v>
      </c>
      <c r="E9" s="21" t="s">
        <v>21</v>
      </c>
      <c r="F9" s="21">
        <v>32</v>
      </c>
      <c r="G9" s="6"/>
      <c r="H9" s="136" t="s">
        <v>246</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984"/>
      <c r="EP9" s="984"/>
      <c r="EQ9" s="984"/>
      <c r="ER9" s="984"/>
      <c r="ES9" s="992"/>
      <c r="ET9" s="1137"/>
      <c r="EU9" s="1137"/>
      <c r="EV9" s="1150"/>
      <c r="EW9" s="1150"/>
      <c r="EX9" s="155"/>
      <c r="EY9" s="155"/>
      <c r="EZ9" s="155"/>
    </row>
    <row r="10" spans="1:156" ht="14.25" customHeight="1">
      <c r="A10" s="20" t="s">
        <v>146</v>
      </c>
      <c r="B10" s="21" t="s">
        <v>403</v>
      </c>
      <c r="C10" s="22" t="s">
        <v>3</v>
      </c>
      <c r="D10" s="23" t="s">
        <v>82</v>
      </c>
      <c r="E10" s="21" t="s">
        <v>82</v>
      </c>
      <c r="F10" s="21" t="s">
        <v>141</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c r="EP10" s="319"/>
      <c r="EQ10" s="319"/>
      <c r="ER10" s="319"/>
      <c r="ES10" s="338"/>
      <c r="ET10" s="1137"/>
      <c r="EU10" s="1137"/>
      <c r="EV10" s="1150"/>
      <c r="EW10" s="1150"/>
      <c r="EX10" s="288"/>
      <c r="EY10" s="288"/>
      <c r="EZ10" s="288"/>
    </row>
    <row r="11" spans="1:156" ht="14.25" customHeight="1" thickBot="1">
      <c r="A11" s="20" t="s">
        <v>404</v>
      </c>
      <c r="B11" s="21" t="s">
        <v>403</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983"/>
      <c r="EP11" s="983"/>
      <c r="EQ11" s="983"/>
      <c r="ER11" s="983"/>
      <c r="ES11" s="993"/>
      <c r="ET11" s="1137"/>
      <c r="EU11" s="1137"/>
      <c r="EV11" s="1150"/>
      <c r="EW11" s="1150"/>
      <c r="EX11" s="288"/>
      <c r="EY11" s="288"/>
      <c r="EZ11" s="288"/>
    </row>
    <row r="12" spans="1:156" ht="14.25" customHeight="1">
      <c r="A12" s="20" t="s">
        <v>405</v>
      </c>
      <c r="B12" s="21" t="s">
        <v>403</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985"/>
      <c r="EP12" s="985"/>
      <c r="EQ12" s="985"/>
      <c r="ER12" s="985"/>
      <c r="ES12" s="994"/>
      <c r="ET12" s="1137"/>
      <c r="EU12" s="1137"/>
      <c r="EV12" s="1150"/>
      <c r="EW12" s="1150"/>
      <c r="EX12" s="288"/>
      <c r="EY12" s="288"/>
      <c r="EZ12" s="288"/>
    </row>
    <row r="13" spans="1:156" ht="14.25" customHeight="1" thickBot="1">
      <c r="A13" s="74" t="s">
        <v>0</v>
      </c>
      <c r="B13" s="75" t="s">
        <v>403</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406</v>
      </c>
      <c r="B15" s="21" t="s">
        <v>403</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983"/>
      <c r="EP15" s="983"/>
      <c r="EQ15" s="983"/>
      <c r="ER15" s="983"/>
      <c r="ES15" s="993"/>
      <c r="ET15" s="1137"/>
      <c r="EU15" s="1137"/>
      <c r="EV15" s="1150"/>
      <c r="EW15" s="1150"/>
      <c r="EX15" s="154"/>
      <c r="EY15" s="154"/>
      <c r="EZ15" s="154"/>
    </row>
    <row r="16" spans="1:156" ht="14.25" customHeight="1">
      <c r="A16" s="1193" t="s">
        <v>406</v>
      </c>
      <c r="B16" s="21" t="s">
        <v>403</v>
      </c>
      <c r="C16" s="22" t="s">
        <v>3</v>
      </c>
      <c r="D16" s="23" t="s">
        <v>20</v>
      </c>
      <c r="E16" s="21" t="s">
        <v>22</v>
      </c>
      <c r="F16" s="21" t="s">
        <v>81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8"/>
      <c r="AZ16" s="129"/>
      <c r="BA16" s="129"/>
      <c r="BB16" s="129"/>
      <c r="BC16" s="125"/>
      <c r="BD16" s="126"/>
      <c r="BE16" s="127"/>
      <c r="BF16" s="127"/>
      <c r="BG16" s="195"/>
      <c r="BH16" s="154"/>
      <c r="BI16" s="154"/>
      <c r="BJ16" s="201"/>
      <c r="BK16" s="154"/>
      <c r="BL16" s="154"/>
      <c r="BM16" s="154"/>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c r="CO16" s="154"/>
      <c r="CP16" s="154"/>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983"/>
      <c r="EP16" s="983"/>
      <c r="EQ16" s="983"/>
      <c r="ER16" s="983"/>
      <c r="ES16" s="993"/>
      <c r="ET16" s="1137"/>
      <c r="EU16" s="1137"/>
      <c r="EV16" s="1150"/>
      <c r="EW16" s="1150"/>
      <c r="EX16" s="154"/>
      <c r="EY16" s="154"/>
      <c r="EZ16" s="154"/>
    </row>
    <row r="17" spans="1:156" ht="14.25" customHeight="1">
      <c r="A17" s="7" t="s">
        <v>405</v>
      </c>
      <c r="B17" s="21" t="s">
        <v>403</v>
      </c>
      <c r="C17" s="22" t="s">
        <v>3</v>
      </c>
      <c r="D17" s="23" t="s">
        <v>20</v>
      </c>
      <c r="E17" s="21" t="s">
        <v>20</v>
      </c>
      <c r="F17" s="21">
        <v>31</v>
      </c>
      <c r="G17" s="6"/>
      <c r="H17" s="24"/>
      <c r="I17" s="181"/>
      <c r="J17" s="182"/>
      <c r="K17" s="182"/>
      <c r="L17" s="182"/>
      <c r="M17" s="182"/>
      <c r="N17" s="182"/>
      <c r="O17" s="180"/>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4"/>
      <c r="AR17" s="154"/>
      <c r="AS17" s="339"/>
      <c r="AT17" s="202"/>
      <c r="AU17" s="201"/>
      <c r="AV17" s="202"/>
      <c r="AW17" s="201"/>
      <c r="AX17" s="202"/>
      <c r="AY17" s="126"/>
      <c r="AZ17" s="127"/>
      <c r="BA17" s="127"/>
      <c r="BB17" s="127"/>
      <c r="BC17" s="125"/>
      <c r="BD17" s="126"/>
      <c r="BE17" s="127"/>
      <c r="BF17" s="127"/>
      <c r="BG17" s="195"/>
      <c r="BH17" s="154"/>
      <c r="BI17" s="154"/>
      <c r="BJ17" s="201"/>
      <c r="BK17" s="154"/>
      <c r="BL17" s="154"/>
      <c r="BM17" s="154"/>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c r="CO17" s="156"/>
      <c r="CP17" s="154"/>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983"/>
      <c r="EP17" s="983"/>
      <c r="EQ17" s="983"/>
      <c r="ER17" s="983"/>
      <c r="ES17" s="993"/>
      <c r="ET17" s="1137"/>
      <c r="EU17" s="1137"/>
      <c r="EV17" s="1150"/>
      <c r="EW17" s="1150"/>
      <c r="EX17" s="154"/>
      <c r="EY17" s="154"/>
      <c r="EZ17" s="154"/>
    </row>
    <row r="18" spans="1:156" ht="14.25" customHeight="1">
      <c r="A18" s="7" t="s">
        <v>146</v>
      </c>
      <c r="B18" s="21" t="s">
        <v>403</v>
      </c>
      <c r="C18" s="22" t="s">
        <v>3</v>
      </c>
      <c r="D18" s="23" t="s">
        <v>82</v>
      </c>
      <c r="E18" s="21" t="s">
        <v>82</v>
      </c>
      <c r="F18" s="21" t="s">
        <v>141</v>
      </c>
      <c r="G18" s="6"/>
      <c r="H18" s="24"/>
      <c r="I18" s="181"/>
      <c r="J18" s="182"/>
      <c r="K18" s="182"/>
      <c r="L18" s="182"/>
      <c r="M18" s="182"/>
      <c r="N18" s="182"/>
      <c r="O18" s="182"/>
      <c r="P18" s="182"/>
      <c r="Q18" s="182"/>
      <c r="R18" s="182"/>
      <c r="S18" s="182"/>
      <c r="T18" s="182"/>
      <c r="U18" s="182"/>
      <c r="V18" s="182"/>
      <c r="W18" s="182"/>
      <c r="X18" s="188"/>
      <c r="Y18" s="201"/>
      <c r="Z18" s="182"/>
      <c r="AA18" s="182"/>
      <c r="AB18" s="182"/>
      <c r="AC18" s="182"/>
      <c r="AD18" s="182"/>
      <c r="AE18" s="182"/>
      <c r="AF18" s="188"/>
      <c r="AG18" s="201"/>
      <c r="AH18" s="182"/>
      <c r="AI18" s="182"/>
      <c r="AJ18" s="202"/>
      <c r="AK18" s="181"/>
      <c r="AL18" s="182"/>
      <c r="AM18" s="182"/>
      <c r="AN18" s="188"/>
      <c r="AO18" s="258"/>
      <c r="AP18" s="154"/>
      <c r="AQ18" s="153"/>
      <c r="AR18" s="154"/>
      <c r="AS18" s="338"/>
      <c r="AT18" s="208"/>
      <c r="AU18" s="199"/>
      <c r="AV18" s="208"/>
      <c r="AW18" s="199"/>
      <c r="AX18" s="208"/>
      <c r="AY18" s="128"/>
      <c r="AZ18" s="129"/>
      <c r="BA18" s="129"/>
      <c r="BB18" s="129"/>
      <c r="BC18" s="125"/>
      <c r="BD18" s="126"/>
      <c r="BE18" s="127"/>
      <c r="BF18" s="127"/>
      <c r="BG18" s="195"/>
      <c r="BH18" s="154"/>
      <c r="BI18" s="154"/>
      <c r="BJ18" s="199"/>
      <c r="BK18" s="153"/>
      <c r="BL18" s="153"/>
      <c r="BM18" s="153"/>
      <c r="BN18" s="153"/>
      <c r="BO18" s="153"/>
      <c r="BP18" s="153"/>
      <c r="BQ18" s="153"/>
      <c r="BR18" s="153"/>
      <c r="BS18" s="153"/>
      <c r="BT18" s="153"/>
      <c r="BU18" s="153"/>
      <c r="BV18" s="153"/>
      <c r="BW18" s="153"/>
      <c r="BX18" s="153"/>
      <c r="BY18" s="173"/>
      <c r="BZ18" s="173"/>
      <c r="CA18" s="153"/>
      <c r="CB18" s="153"/>
      <c r="CC18" s="153"/>
      <c r="CD18" s="153"/>
      <c r="CE18" s="153"/>
      <c r="CF18" s="153"/>
      <c r="CG18" s="153"/>
      <c r="CH18" s="153"/>
      <c r="CI18" s="153"/>
      <c r="CJ18" s="153"/>
      <c r="CK18" s="153"/>
      <c r="CL18" s="153"/>
      <c r="CM18" s="153"/>
      <c r="CN18" s="153"/>
      <c r="CO18" s="153"/>
      <c r="CP18" s="153"/>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c r="EP18" s="319"/>
      <c r="EQ18" s="319"/>
      <c r="ER18" s="319"/>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4">SUBTOTAL(9,I14:I18)</f>
        <v>0</v>
      </c>
      <c r="J19" s="183">
        <f t="shared" si="4"/>
        <v>0</v>
      </c>
      <c r="K19" s="183">
        <f t="shared" si="4"/>
        <v>0</v>
      </c>
      <c r="L19" s="183">
        <f t="shared" si="4"/>
        <v>0</v>
      </c>
      <c r="M19" s="183">
        <f t="shared" si="4"/>
        <v>0</v>
      </c>
      <c r="N19" s="183">
        <f t="shared" si="4"/>
        <v>0</v>
      </c>
      <c r="O19" s="183">
        <f t="shared" si="4"/>
        <v>0</v>
      </c>
      <c r="P19" s="183">
        <f t="shared" si="4"/>
        <v>0</v>
      </c>
      <c r="Q19" s="183">
        <f t="shared" si="4"/>
        <v>0</v>
      </c>
      <c r="R19" s="183">
        <f t="shared" si="4"/>
        <v>0</v>
      </c>
      <c r="S19" s="183">
        <f t="shared" si="4"/>
        <v>0</v>
      </c>
      <c r="T19" s="183">
        <f t="shared" si="4"/>
        <v>0</v>
      </c>
      <c r="U19" s="183">
        <f t="shared" si="4"/>
        <v>0</v>
      </c>
      <c r="V19" s="183">
        <f t="shared" si="4"/>
        <v>0</v>
      </c>
      <c r="W19" s="183">
        <f t="shared" si="4"/>
        <v>0</v>
      </c>
      <c r="X19" s="183">
        <f t="shared" si="4"/>
        <v>0</v>
      </c>
      <c r="Y19" s="183">
        <f t="shared" si="4"/>
        <v>0</v>
      </c>
      <c r="Z19" s="183">
        <f t="shared" si="4"/>
        <v>0</v>
      </c>
      <c r="AA19" s="183">
        <f t="shared" si="4"/>
        <v>0</v>
      </c>
      <c r="AB19" s="183">
        <f t="shared" si="4"/>
        <v>0</v>
      </c>
      <c r="AC19" s="183">
        <f t="shared" si="4"/>
        <v>0</v>
      </c>
      <c r="AD19" s="183">
        <f t="shared" si="4"/>
        <v>0</v>
      </c>
      <c r="AE19" s="183">
        <f t="shared" si="4"/>
        <v>0</v>
      </c>
      <c r="AF19" s="183">
        <f t="shared" si="4"/>
        <v>0</v>
      </c>
      <c r="AG19" s="183">
        <f t="shared" si="4"/>
        <v>0</v>
      </c>
      <c r="AH19" s="183">
        <f t="shared" si="4"/>
        <v>0</v>
      </c>
      <c r="AI19" s="183">
        <f t="shared" si="4"/>
        <v>0</v>
      </c>
      <c r="AJ19" s="183">
        <f t="shared" si="4"/>
        <v>0</v>
      </c>
      <c r="AK19" s="183">
        <f t="shared" si="4"/>
        <v>0</v>
      </c>
      <c r="AL19" s="183">
        <f t="shared" si="4"/>
        <v>0</v>
      </c>
      <c r="AM19" s="183">
        <f t="shared" si="4"/>
        <v>0</v>
      </c>
      <c r="AN19" s="183">
        <f t="shared" si="4"/>
        <v>0</v>
      </c>
      <c r="AO19" s="183">
        <f t="shared" si="4"/>
        <v>0</v>
      </c>
      <c r="AP19" s="183">
        <f t="shared" si="4"/>
        <v>0</v>
      </c>
      <c r="AQ19" s="183">
        <f t="shared" si="4"/>
        <v>0</v>
      </c>
      <c r="AR19" s="183">
        <f t="shared" si="4"/>
        <v>0</v>
      </c>
      <c r="AS19" s="183">
        <f t="shared" si="4"/>
        <v>0</v>
      </c>
      <c r="AT19" s="183">
        <f t="shared" si="4"/>
        <v>0</v>
      </c>
      <c r="AU19" s="203"/>
      <c r="AV19" s="132"/>
      <c r="AW19" s="203"/>
      <c r="AX19" s="132"/>
      <c r="AY19" s="183">
        <f>SUBTOTAL(9,AY14:AY18)</f>
        <v>0</v>
      </c>
      <c r="AZ19" s="183">
        <f>SUBTOTAL(9,AZ14:AZ18)</f>
        <v>0</v>
      </c>
      <c r="BA19" s="183">
        <f>SUBTOTAL(9,BA14:BA18)</f>
        <v>0</v>
      </c>
      <c r="BB19" s="183">
        <f>SUBTOTAL(9,BB14:BB18)</f>
        <v>0</v>
      </c>
      <c r="BC19" s="183">
        <f>SUBTOTAL(9,BC14:BC18)</f>
        <v>0</v>
      </c>
      <c r="BD19" s="204" t="str">
        <f>IF(ISNUMBER(BA19/AZ19),BA19/AZ19," - ")</f>
        <v xml:space="preserve"> - </v>
      </c>
      <c r="BE19" s="205" t="str">
        <f>IF(ISNUMBER(BB19/BA19),BB19/BA19, " - ")</f>
        <v xml:space="preserve"> - </v>
      </c>
      <c r="BF19" s="205" t="str">
        <f>IF(ISNUMBER(BC19/BA19),BC19/BA19, " - ")</f>
        <v xml:space="preserve"> - </v>
      </c>
      <c r="BG19" s="206" t="str">
        <f>IF(ISNUMBER((AY19+AZ19)/BA19),(AY19+AZ19)/BA19," - ")</f>
        <v xml:space="preserve"> - </v>
      </c>
      <c r="BH19" s="183">
        <f>SUBTOTAL(9,BH14:BH18)</f>
        <v>0</v>
      </c>
      <c r="BI19" s="183">
        <f>SUBTOTAL(9,BI14:BI18)</f>
        <v>0</v>
      </c>
      <c r="BJ19" s="183">
        <f>SUBTOTAL(9,BJ14:BJ18)</f>
        <v>0</v>
      </c>
      <c r="BK19" s="183">
        <f>SUBTOTAL(9,BK14:BK18)</f>
        <v>0</v>
      </c>
      <c r="BL19" s="183">
        <f>SUBTOTAL(9,BL14:BL18)</f>
        <v>0</v>
      </c>
      <c r="BM19" s="139" t="e">
        <f>AVERAGE(BM15:BM18)</f>
        <v>#DIV/0!</v>
      </c>
      <c r="BN19" s="150"/>
      <c r="BO19" s="150"/>
      <c r="BP19" s="150"/>
      <c r="BQ19" s="150"/>
      <c r="BR19" s="150"/>
      <c r="BS19" s="150"/>
      <c r="BT19" s="150"/>
      <c r="BU19" s="150"/>
      <c r="BV19" s="183"/>
      <c r="BW19" s="183"/>
      <c r="BX19" s="183"/>
      <c r="BY19" s="150"/>
      <c r="BZ19" s="150"/>
      <c r="CA19" s="183">
        <f t="shared" ref="CA19:CL19" si="5">SUBTOTAL(9,CA14:CA18)</f>
        <v>0</v>
      </c>
      <c r="CB19" s="183">
        <f t="shared" si="5"/>
        <v>0</v>
      </c>
      <c r="CC19" s="183">
        <f t="shared" si="5"/>
        <v>0</v>
      </c>
      <c r="CD19" s="183">
        <f t="shared" si="5"/>
        <v>0</v>
      </c>
      <c r="CE19" s="183">
        <f t="shared" si="5"/>
        <v>0</v>
      </c>
      <c r="CF19" s="183">
        <f t="shared" si="5"/>
        <v>0</v>
      </c>
      <c r="CG19" s="183">
        <f t="shared" si="5"/>
        <v>0</v>
      </c>
      <c r="CH19" s="183">
        <f t="shared" si="5"/>
        <v>0</v>
      </c>
      <c r="CI19" s="183">
        <f t="shared" si="5"/>
        <v>0</v>
      </c>
      <c r="CJ19" s="183">
        <f t="shared" si="5"/>
        <v>0</v>
      </c>
      <c r="CK19" s="183">
        <f t="shared" si="5"/>
        <v>0</v>
      </c>
      <c r="CL19" s="183">
        <f t="shared" si="5"/>
        <v>0</v>
      </c>
      <c r="CM19" s="295"/>
      <c r="CN19" s="150"/>
      <c r="CO19" s="150"/>
      <c r="CP19" s="150"/>
      <c r="CQ19" s="150"/>
      <c r="CR19" s="150"/>
      <c r="CS19" s="150"/>
      <c r="CT19" s="150"/>
      <c r="CU19" s="150"/>
      <c r="CV19" s="183">
        <f>SUBTOTAL(9,CV15:CV18)</f>
        <v>0</v>
      </c>
      <c r="CW19" s="183">
        <f>SUBTOTAL(9,CW15:CW18)</f>
        <v>0</v>
      </c>
      <c r="CX19" s="183"/>
      <c r="CY19" s="183">
        <f t="shared" ref="CY19:ER19" si="6">SUBTOTAL(9,CY15:CY18)</f>
        <v>0</v>
      </c>
      <c r="CZ19" s="183">
        <f t="shared" si="6"/>
        <v>0</v>
      </c>
      <c r="DA19" s="183">
        <f t="shared" si="6"/>
        <v>0</v>
      </c>
      <c r="DB19" s="183">
        <f t="shared" si="6"/>
        <v>0</v>
      </c>
      <c r="DC19" s="183">
        <f t="shared" si="6"/>
        <v>0</v>
      </c>
      <c r="DD19" s="183">
        <f t="shared" si="6"/>
        <v>0</v>
      </c>
      <c r="DE19" s="183">
        <f t="shared" si="6"/>
        <v>0</v>
      </c>
      <c r="DF19" s="183">
        <f t="shared" si="6"/>
        <v>0</v>
      </c>
      <c r="DG19" s="183">
        <f t="shared" si="6"/>
        <v>0</v>
      </c>
      <c r="DH19" s="183">
        <f t="shared" si="6"/>
        <v>0</v>
      </c>
      <c r="DI19" s="183">
        <f t="shared" si="6"/>
        <v>0</v>
      </c>
      <c r="DJ19" s="183">
        <f t="shared" si="6"/>
        <v>0</v>
      </c>
      <c r="DK19" s="183">
        <f t="shared" si="6"/>
        <v>0</v>
      </c>
      <c r="DL19" s="183">
        <f t="shared" si="6"/>
        <v>0</v>
      </c>
      <c r="DM19" s="183">
        <f t="shared" si="6"/>
        <v>0</v>
      </c>
      <c r="DN19" s="183">
        <f t="shared" si="6"/>
        <v>0</v>
      </c>
      <c r="DO19" s="183">
        <f t="shared" si="6"/>
        <v>0</v>
      </c>
      <c r="DP19" s="183">
        <f t="shared" si="6"/>
        <v>0</v>
      </c>
      <c r="DQ19" s="183">
        <f t="shared" si="6"/>
        <v>0</v>
      </c>
      <c r="DR19" s="183">
        <f t="shared" si="6"/>
        <v>0</v>
      </c>
      <c r="DS19" s="183">
        <f t="shared" si="6"/>
        <v>0</v>
      </c>
      <c r="DT19" s="183">
        <f t="shared" si="6"/>
        <v>0</v>
      </c>
      <c r="DU19" s="183">
        <f t="shared" si="6"/>
        <v>0</v>
      </c>
      <c r="DV19" s="634">
        <f t="shared" si="6"/>
        <v>0</v>
      </c>
      <c r="DW19" s="634">
        <f t="shared" si="6"/>
        <v>0</v>
      </c>
      <c r="DX19" s="634">
        <f t="shared" si="6"/>
        <v>0</v>
      </c>
      <c r="DY19" s="634">
        <f t="shared" si="6"/>
        <v>0</v>
      </c>
      <c r="DZ19" s="183">
        <f t="shared" si="6"/>
        <v>0</v>
      </c>
      <c r="EA19" s="183">
        <f t="shared" si="6"/>
        <v>0</v>
      </c>
      <c r="EB19" s="183">
        <f t="shared" si="6"/>
        <v>0</v>
      </c>
      <c r="EC19" s="183">
        <f t="shared" si="6"/>
        <v>0</v>
      </c>
      <c r="ED19" s="183">
        <f t="shared" si="6"/>
        <v>0</v>
      </c>
      <c r="EE19" s="183">
        <f t="shared" si="6"/>
        <v>0</v>
      </c>
      <c r="EF19" s="183">
        <f t="shared" si="6"/>
        <v>0</v>
      </c>
      <c r="EG19" s="183">
        <f t="shared" si="6"/>
        <v>0</v>
      </c>
      <c r="EH19" s="183">
        <f t="shared" si="6"/>
        <v>0</v>
      </c>
      <c r="EI19" s="183">
        <f t="shared" si="6"/>
        <v>0</v>
      </c>
      <c r="EJ19" s="183">
        <f t="shared" si="6"/>
        <v>0</v>
      </c>
      <c r="EK19" s="183">
        <f t="shared" si="6"/>
        <v>0</v>
      </c>
      <c r="EL19" s="183">
        <f t="shared" si="6"/>
        <v>0</v>
      </c>
      <c r="EM19" s="183">
        <f t="shared" si="6"/>
        <v>0</v>
      </c>
      <c r="EN19" s="183">
        <f t="shared" si="6"/>
        <v>0</v>
      </c>
      <c r="EO19" s="183">
        <f t="shared" si="6"/>
        <v>0</v>
      </c>
      <c r="EP19" s="183">
        <f t="shared" si="6"/>
        <v>0</v>
      </c>
      <c r="EQ19" s="183">
        <f t="shared" si="6"/>
        <v>0</v>
      </c>
      <c r="ER19" s="183">
        <f t="shared" si="6"/>
        <v>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7">SUBTOTAL(9,I9:I19)</f>
        <v>0</v>
      </c>
      <c r="J20" s="134">
        <f t="shared" si="7"/>
        <v>0</v>
      </c>
      <c r="K20" s="134">
        <f t="shared" si="7"/>
        <v>0</v>
      </c>
      <c r="L20" s="134">
        <f t="shared" si="7"/>
        <v>0</v>
      </c>
      <c r="M20" s="134">
        <f t="shared" si="7"/>
        <v>0</v>
      </c>
      <c r="N20" s="134">
        <f t="shared" si="7"/>
        <v>0</v>
      </c>
      <c r="O20" s="134">
        <f t="shared" si="7"/>
        <v>0</v>
      </c>
      <c r="P20" s="134">
        <f t="shared" si="7"/>
        <v>0</v>
      </c>
      <c r="Q20" s="134">
        <f t="shared" si="7"/>
        <v>0</v>
      </c>
      <c r="R20" s="134">
        <f t="shared" si="7"/>
        <v>0</v>
      </c>
      <c r="S20" s="134">
        <f t="shared" si="7"/>
        <v>0</v>
      </c>
      <c r="T20" s="134">
        <f t="shared" si="7"/>
        <v>0</v>
      </c>
      <c r="U20" s="134">
        <f t="shared" si="7"/>
        <v>0</v>
      </c>
      <c r="V20" s="134">
        <f t="shared" si="7"/>
        <v>0</v>
      </c>
      <c r="W20" s="134">
        <f t="shared" si="7"/>
        <v>0</v>
      </c>
      <c r="X20" s="134">
        <f t="shared" si="7"/>
        <v>0</v>
      </c>
      <c r="Y20" s="134">
        <f t="shared" si="7"/>
        <v>0</v>
      </c>
      <c r="Z20" s="134">
        <f t="shared" si="7"/>
        <v>0</v>
      </c>
      <c r="AA20" s="134">
        <f t="shared" si="7"/>
        <v>0</v>
      </c>
      <c r="AB20" s="134">
        <f t="shared" si="7"/>
        <v>0</v>
      </c>
      <c r="AC20" s="134">
        <f t="shared" si="7"/>
        <v>0</v>
      </c>
      <c r="AD20" s="134">
        <f t="shared" si="7"/>
        <v>0</v>
      </c>
      <c r="AE20" s="134">
        <f t="shared" si="7"/>
        <v>0</v>
      </c>
      <c r="AF20" s="134">
        <f t="shared" si="7"/>
        <v>0</v>
      </c>
      <c r="AG20" s="134">
        <f t="shared" si="7"/>
        <v>0</v>
      </c>
      <c r="AH20" s="134">
        <f t="shared" si="7"/>
        <v>0</v>
      </c>
      <c r="AI20" s="134">
        <f t="shared" si="7"/>
        <v>0</v>
      </c>
      <c r="AJ20" s="134">
        <f t="shared" si="7"/>
        <v>0</v>
      </c>
      <c r="AK20" s="134">
        <f t="shared" si="7"/>
        <v>0</v>
      </c>
      <c r="AL20" s="134">
        <f t="shared" si="7"/>
        <v>0</v>
      </c>
      <c r="AM20" s="134">
        <f t="shared" si="7"/>
        <v>0</v>
      </c>
      <c r="AN20" s="209">
        <f t="shared" si="7"/>
        <v>0</v>
      </c>
      <c r="AO20" s="210">
        <f t="shared" si="7"/>
        <v>0</v>
      </c>
      <c r="AP20" s="210">
        <f t="shared" si="7"/>
        <v>0</v>
      </c>
      <c r="AQ20" s="210">
        <f t="shared" si="7"/>
        <v>0</v>
      </c>
      <c r="AR20" s="210">
        <f t="shared" si="7"/>
        <v>0</v>
      </c>
      <c r="AS20" s="152">
        <f t="shared" si="7"/>
        <v>0</v>
      </c>
      <c r="AT20" s="152">
        <f t="shared" si="7"/>
        <v>0</v>
      </c>
      <c r="AU20" s="210"/>
      <c r="AV20" s="211"/>
      <c r="AW20" s="210"/>
      <c r="AX20" s="211"/>
      <c r="AY20" s="133">
        <f>SUBTOTAL(9,AY9:AY19)</f>
        <v>0</v>
      </c>
      <c r="AZ20" s="134">
        <f>SUBTOTAL(9,AZ9:AZ19)</f>
        <v>0</v>
      </c>
      <c r="BA20" s="134">
        <f>SUBTOTAL(9,BA9:BA19)</f>
        <v>0</v>
      </c>
      <c r="BB20" s="134">
        <f>SUBTOTAL(9,BB9:BB19)</f>
        <v>0</v>
      </c>
      <c r="BC20" s="135">
        <f>SUBTOTAL(9,BC9:BC19)</f>
        <v>0</v>
      </c>
      <c r="BD20" s="212" t="str">
        <f>IF(ISNUMBER(BA20/AZ20),BA20/AZ20," - ")</f>
        <v xml:space="preserve"> - </v>
      </c>
      <c r="BE20" s="209" t="str">
        <f>IF(ISNUMBER(BB20/BA20),BB20/BA20, " - ")</f>
        <v xml:space="preserve"> - </v>
      </c>
      <c r="BF20" s="209" t="str">
        <f>IF(ISNUMBER(BC20/BA20),BC20/BA20, " - ")</f>
        <v xml:space="preserve"> - </v>
      </c>
      <c r="BG20" s="135" t="str">
        <f>IF(ISNUMBER((AY20+AZ20)/BA20),(AY20+AZ20)/BA20," - ")</f>
        <v xml:space="preserve"> - </v>
      </c>
      <c r="BH20" s="210">
        <f>SUBTOTAL(9,BH9:BH19)</f>
        <v>0</v>
      </c>
      <c r="BI20" s="210">
        <f>SUBTOTAL(9,BI9:BI19)</f>
        <v>0</v>
      </c>
      <c r="BJ20" s="210"/>
      <c r="BK20" s="210">
        <f>SUBTOTAL(9,BK9:BK19)</f>
        <v>0</v>
      </c>
      <c r="BL20" s="210"/>
      <c r="BM20" s="210" t="e">
        <f>AVERAGE(BM9:BM19)</f>
        <v>#DIV/0!</v>
      </c>
      <c r="BN20" s="210">
        <f t="shared" ref="BN20:BS20" si="8">SUBTOTAL(9,BN9:BN19)</f>
        <v>0</v>
      </c>
      <c r="BO20" s="210">
        <f t="shared" si="8"/>
        <v>0</v>
      </c>
      <c r="BP20" s="210">
        <f t="shared" si="8"/>
        <v>0</v>
      </c>
      <c r="BQ20" s="210">
        <f t="shared" si="8"/>
        <v>0</v>
      </c>
      <c r="BR20" s="210">
        <f t="shared" si="8"/>
        <v>0</v>
      </c>
      <c r="BS20" s="210">
        <f t="shared" si="8"/>
        <v>0</v>
      </c>
      <c r="BT20" s="210" t="e">
        <f>AVERAGE(BT9:BT19)</f>
        <v>#DIV/0!</v>
      </c>
      <c r="BU20" s="210" t="e">
        <f>AVERAGE(BU9:BU19)</f>
        <v>#DIV/0!</v>
      </c>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t="e">
        <f>SUBTOTAL(9,CN9:CN19)</f>
        <v>#DIV/0!</v>
      </c>
      <c r="CO20" s="210">
        <f>SUBTOTAL(9,CO9:CO19)</f>
        <v>0</v>
      </c>
      <c r="CP20" s="210">
        <f>SUBTOTAL(9,CP9:CP19)</f>
        <v>0</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R20" si="9">SUBTOTAL(9,DM9:DM19)</f>
        <v>0</v>
      </c>
      <c r="DN20" s="152">
        <f t="shared" si="9"/>
        <v>0</v>
      </c>
      <c r="DO20" s="152">
        <f t="shared" si="9"/>
        <v>0</v>
      </c>
      <c r="DP20" s="152">
        <f t="shared" si="9"/>
        <v>0</v>
      </c>
      <c r="DQ20" s="152">
        <f t="shared" si="9"/>
        <v>0</v>
      </c>
      <c r="DR20" s="152">
        <f t="shared" si="9"/>
        <v>0</v>
      </c>
      <c r="DS20" s="152">
        <f t="shared" si="9"/>
        <v>0</v>
      </c>
      <c r="DT20" s="152">
        <f t="shared" si="9"/>
        <v>0</v>
      </c>
      <c r="DU20" s="152">
        <f t="shared" si="9"/>
        <v>0</v>
      </c>
      <c r="DV20" s="152">
        <f t="shared" si="9"/>
        <v>0</v>
      </c>
      <c r="DW20" s="152">
        <f t="shared" si="9"/>
        <v>0</v>
      </c>
      <c r="DX20" s="152">
        <f t="shared" si="9"/>
        <v>0</v>
      </c>
      <c r="DY20" s="152">
        <f t="shared" si="9"/>
        <v>0</v>
      </c>
      <c r="DZ20" s="152">
        <f t="shared" si="9"/>
        <v>0</v>
      </c>
      <c r="EA20" s="152">
        <f t="shared" si="9"/>
        <v>0</v>
      </c>
      <c r="EB20" s="152">
        <f t="shared" si="9"/>
        <v>0</v>
      </c>
      <c r="EC20" s="152">
        <f t="shared" si="9"/>
        <v>0</v>
      </c>
      <c r="ED20" s="152">
        <f t="shared" si="9"/>
        <v>0</v>
      </c>
      <c r="EE20" s="152">
        <f t="shared" si="9"/>
        <v>0</v>
      </c>
      <c r="EF20" s="152">
        <f t="shared" si="9"/>
        <v>0</v>
      </c>
      <c r="EG20" s="152">
        <f t="shared" si="9"/>
        <v>0</v>
      </c>
      <c r="EH20" s="152">
        <f t="shared" si="9"/>
        <v>0</v>
      </c>
      <c r="EI20" s="152">
        <f t="shared" si="9"/>
        <v>0</v>
      </c>
      <c r="EJ20" s="152">
        <f t="shared" si="9"/>
        <v>0</v>
      </c>
      <c r="EK20" s="152">
        <f t="shared" si="9"/>
        <v>0</v>
      </c>
      <c r="EL20" s="152">
        <f t="shared" si="9"/>
        <v>0</v>
      </c>
      <c r="EM20" s="152">
        <f t="shared" si="9"/>
        <v>0</v>
      </c>
      <c r="EN20" s="152">
        <f t="shared" si="9"/>
        <v>0</v>
      </c>
      <c r="EO20" s="152">
        <f t="shared" si="9"/>
        <v>0</v>
      </c>
      <c r="EP20" s="152">
        <f t="shared" si="9"/>
        <v>0</v>
      </c>
      <c r="EQ20" s="152">
        <f t="shared" si="9"/>
        <v>0</v>
      </c>
      <c r="ER20" s="152">
        <f t="shared" si="9"/>
        <v>0</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ueQvhdXbFoxVHY/qwyGxWE1aNGs8yYNTSuzP/KZmDwUkY9HgGke3WMUYqtCAALDjupPGhR9RfqRoO0g85zT7Jw==" saltValue="MLR26KMCG31fN10GM0Nu3A=="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CO11 CO17 CS17:DE17 EV17:EW17 EO17:ER17 I9:R9 Y9:AB9 AP10 AR10 BH10:BI11 Y11:AB12 BK11:BU11 CE11:CJ11 CS11:DG11 I11:R12 I15:R18 BK17:CJ17 AO17:AO18 BH17:BI18 AP18 AR18">
    <cfRule type="cellIs" dxfId="395" priority="588" stopIfTrue="1" operator="equal">
      <formula>$A$31</formula>
    </cfRule>
  </conditionalFormatting>
  <conditionalFormatting sqref="I13:BC14 I19:BC19 I20:ER20 EX20:EZ20">
    <cfRule type="cellIs" dxfId="394" priority="1665" stopIfTrue="1" operator="equal">
      <formula>$A$32</formula>
    </cfRule>
  </conditionalFormatting>
  <conditionalFormatting sqref="I1:DG1">
    <cfRule type="cellIs" dxfId="393" priority="1965" stopIfTrue="1" operator="equal">
      <formula>$A$32</formula>
    </cfRule>
  </conditionalFormatting>
  <conditionalFormatting sqref="I8:EZ8">
    <cfRule type="cellIs" dxfId="392" priority="14" stopIfTrue="1" operator="equal">
      <formula>$A$32</formula>
    </cfRule>
  </conditionalFormatting>
  <conditionalFormatting sqref="AP9 AR9:AX9 BH9:BI9 AO9:AO10 AQ9:AQ10 BK9:CJ10 CS9:CU10 S9:X12 AC9:AN12 BJ9:BJ12 CK9:CR12 AS10:AX12 Y10:AB10 BV11:BX11 CA11:CD11 AO12:AR12 BH12:BI12 CS12:CU12 S15:AX16 BH15:DL16 EV15:EW18 CK17:CR18 S17:AN18 AS17:AX18 BJ17:BJ18 CV17:DL18 AQ18 CS18:CU18 AU9:AU12 CV9:ES12 EV9:EZ12">
    <cfRule type="cellIs" dxfId="391" priority="477" stopIfTrue="1" operator="equal">
      <formula>$A$32</formula>
    </cfRule>
  </conditionalFormatting>
  <conditionalFormatting sqref="AO11:AS11">
    <cfRule type="cellIs" dxfId="390" priority="2009" stopIfTrue="1" operator="equal">
      <formula>$A$31</formula>
    </cfRule>
  </conditionalFormatting>
  <conditionalFormatting sqref="AP17:AS17">
    <cfRule type="cellIs" dxfId="389" priority="1760" stopIfTrue="1" operator="equal">
      <formula>$A$31</formula>
    </cfRule>
  </conditionalFormatting>
  <conditionalFormatting sqref="AS15:AS17">
    <cfRule type="cellIs" dxfId="388" priority="1684" stopIfTrue="1" operator="equal">
      <formula>$A$31</formula>
    </cfRule>
    <cfRule type="cellIs" dxfId="387" priority="1756" stopIfTrue="1" operator="equal">
      <formula>$A$31</formula>
    </cfRule>
  </conditionalFormatting>
  <conditionalFormatting sqref="AS15:AS18">
    <cfRule type="cellIs" dxfId="386" priority="1752" stopIfTrue="1" operator="equal">
      <formula>$A$32</formula>
    </cfRule>
    <cfRule type="cellIs" dxfId="385" priority="1755" stopIfTrue="1" operator="equal">
      <formula>$A$32</formula>
    </cfRule>
  </conditionalFormatting>
  <conditionalFormatting sqref="AS17">
    <cfRule type="cellIs" dxfId="384" priority="1753" stopIfTrue="1" operator="equal">
      <formula>$A$31</formula>
    </cfRule>
  </conditionalFormatting>
  <conditionalFormatting sqref="AU11">
    <cfRule type="cellIs" dxfId="383" priority="474" stopIfTrue="1" operator="equal">
      <formula>$A$31</formula>
    </cfRule>
  </conditionalFormatting>
  <conditionalFormatting sqref="AU15:AU16">
    <cfRule type="cellIs" dxfId="382" priority="1437" stopIfTrue="1" operator="equal">
      <formula>$A$32</formula>
    </cfRule>
    <cfRule type="cellIs" dxfId="381" priority="1439" stopIfTrue="1" operator="equal">
      <formula>$A$31</formula>
    </cfRule>
    <cfRule type="cellIs" dxfId="380" priority="1440" stopIfTrue="1" operator="equal">
      <formula>$A$32</formula>
    </cfRule>
    <cfRule type="cellIs" dxfId="379" priority="1442" stopIfTrue="1" operator="equal">
      <formula>$A$31</formula>
    </cfRule>
    <cfRule type="cellIs" dxfId="378" priority="1443" stopIfTrue="1" operator="equal">
      <formula>$A$32</formula>
    </cfRule>
    <cfRule type="cellIs" dxfId="377" priority="1445" stopIfTrue="1" operator="equal">
      <formula>$A$31</formula>
    </cfRule>
    <cfRule type="cellIs" dxfId="376" priority="1446" stopIfTrue="1" operator="equal">
      <formula>$A$32</formula>
    </cfRule>
    <cfRule type="cellIs" dxfId="375" priority="1448" stopIfTrue="1" operator="equal">
      <formula>$A$31</formula>
    </cfRule>
    <cfRule type="cellIs" dxfId="374" priority="1449" stopIfTrue="1" operator="equal">
      <formula>$A$32</formula>
    </cfRule>
    <cfRule type="cellIs" dxfId="373" priority="1451" stopIfTrue="1" operator="equal">
      <formula>$A$31</formula>
    </cfRule>
    <cfRule type="cellIs" dxfId="372" priority="1452" stopIfTrue="1" operator="equal">
      <formula>$A$32</formula>
    </cfRule>
    <cfRule type="cellIs" dxfId="371" priority="1454" stopIfTrue="1" operator="equal">
      <formula>$A$31</formula>
    </cfRule>
    <cfRule type="cellIs" dxfId="370" priority="1455" stopIfTrue="1" operator="equal">
      <formula>$A$32</formula>
    </cfRule>
  </conditionalFormatting>
  <conditionalFormatting sqref="AU15:AU17">
    <cfRule type="cellIs" dxfId="369" priority="1408" stopIfTrue="1" operator="equal">
      <formula>$A$31</formula>
    </cfRule>
    <cfRule type="cellIs" dxfId="368" priority="1598" stopIfTrue="1" operator="equal">
      <formula>$A$31</formula>
    </cfRule>
  </conditionalFormatting>
  <conditionalFormatting sqref="AU17">
    <cfRule type="cellIs" dxfId="367" priority="1387" stopIfTrue="1" operator="equal">
      <formula>$A$31</formula>
    </cfRule>
    <cfRule type="cellIs" dxfId="366" priority="1388" stopIfTrue="1" operator="equal">
      <formula>$A$32</formula>
    </cfRule>
    <cfRule type="cellIs" dxfId="365" priority="1390" stopIfTrue="1" operator="equal">
      <formula>$A$31</formula>
    </cfRule>
    <cfRule type="cellIs" dxfId="364" priority="1391" stopIfTrue="1" operator="equal">
      <formula>$A$32</formula>
    </cfRule>
    <cfRule type="cellIs" dxfId="363" priority="1393" stopIfTrue="1" operator="equal">
      <formula>$A$31</formula>
    </cfRule>
    <cfRule type="cellIs" dxfId="362" priority="1394" stopIfTrue="1" operator="equal">
      <formula>$A$32</formula>
    </cfRule>
    <cfRule type="cellIs" dxfId="361" priority="1396" stopIfTrue="1" operator="equal">
      <formula>$A$31</formula>
    </cfRule>
    <cfRule type="cellIs" dxfId="360" priority="1397" stopIfTrue="1" operator="equal">
      <formula>$A$32</formula>
    </cfRule>
    <cfRule type="cellIs" dxfId="359" priority="1399" stopIfTrue="1" operator="equal">
      <formula>$A$31</formula>
    </cfRule>
    <cfRule type="cellIs" dxfId="358" priority="1400" stopIfTrue="1" operator="equal">
      <formula>$A$32</formula>
    </cfRule>
    <cfRule type="cellIs" dxfId="357" priority="1402" stopIfTrue="1" operator="equal">
      <formula>$A$31</formula>
    </cfRule>
    <cfRule type="cellIs" dxfId="356" priority="1403" stopIfTrue="1" operator="equal">
      <formula>$A$32</formula>
    </cfRule>
    <cfRule type="cellIs" dxfId="355" priority="1405" stopIfTrue="1" operator="equal">
      <formula>$A$31</formula>
    </cfRule>
    <cfRule type="cellIs" dxfId="354" priority="1406" stopIfTrue="1" operator="equal">
      <formula>$A$32</formula>
    </cfRule>
  </conditionalFormatting>
  <conditionalFormatting sqref="AU18">
    <cfRule type="cellIs" dxfId="353" priority="1336" stopIfTrue="1" operator="equal">
      <formula>$A$32</formula>
    </cfRule>
  </conditionalFormatting>
  <conditionalFormatting sqref="AW11">
    <cfRule type="cellIs" dxfId="352" priority="1563" stopIfTrue="1" operator="equal">
      <formula>$A$31</formula>
    </cfRule>
    <cfRule type="cellIs" dxfId="351" priority="1565" stopIfTrue="1" operator="equal">
      <formula>$A$31</formula>
    </cfRule>
    <cfRule type="cellIs" dxfId="350" priority="1567" stopIfTrue="1" operator="equal">
      <formula>$A$31</formula>
    </cfRule>
    <cfRule type="cellIs" dxfId="349" priority="1569" stopIfTrue="1" operator="equal">
      <formula>$A$31</formula>
    </cfRule>
    <cfRule type="cellIs" dxfId="348" priority="1571" stopIfTrue="1" operator="equal">
      <formula>$A$31</formula>
    </cfRule>
    <cfRule type="cellIs" dxfId="347" priority="1573" stopIfTrue="1" operator="equal">
      <formula>$A$31</formula>
    </cfRule>
    <cfRule type="cellIs" dxfId="346" priority="1575" stopIfTrue="1" operator="equal">
      <formula>$A$31</formula>
    </cfRule>
    <cfRule type="cellIs" dxfId="345" priority="1577" stopIfTrue="1" operator="equal">
      <formula>$A$31</formula>
    </cfRule>
    <cfRule type="cellIs" dxfId="344" priority="1579" stopIfTrue="1" operator="equal">
      <formula>$A$31</formula>
    </cfRule>
    <cfRule type="cellIs" dxfId="343" priority="1581" stopIfTrue="1" operator="equal">
      <formula>$A$31</formula>
    </cfRule>
    <cfRule type="cellIs" dxfId="342" priority="1583" stopIfTrue="1" operator="equal">
      <formula>$A$31</formula>
    </cfRule>
    <cfRule type="cellIs" dxfId="341" priority="1585" stopIfTrue="1" operator="equal">
      <formula>$A$31</formula>
    </cfRule>
    <cfRule type="cellIs" dxfId="340" priority="1587" stopIfTrue="1" operator="equal">
      <formula>$A$31</formula>
    </cfRule>
    <cfRule type="cellIs" dxfId="339" priority="1589" stopIfTrue="1" operator="equal">
      <formula>$A$31</formula>
    </cfRule>
    <cfRule type="cellIs" dxfId="338" priority="1591" stopIfTrue="1" operator="equal">
      <formula>$A$31</formula>
    </cfRule>
  </conditionalFormatting>
  <conditionalFormatting sqref="AW15:AW16">
    <cfRule type="cellIs" dxfId="337" priority="1418" stopIfTrue="1" operator="equal">
      <formula>$A$31</formula>
    </cfRule>
    <cfRule type="cellIs" dxfId="336" priority="1419" stopIfTrue="1" operator="equal">
      <formula>$A$32</formula>
    </cfRule>
    <cfRule type="cellIs" dxfId="335" priority="1421" stopIfTrue="1" operator="equal">
      <formula>$A$31</formula>
    </cfRule>
    <cfRule type="cellIs" dxfId="334" priority="1422" stopIfTrue="1" operator="equal">
      <formula>$A$32</formula>
    </cfRule>
    <cfRule type="cellIs" dxfId="333" priority="1424" stopIfTrue="1" operator="equal">
      <formula>$A$31</formula>
    </cfRule>
    <cfRule type="cellIs" dxfId="332" priority="1425" stopIfTrue="1" operator="equal">
      <formula>$A$32</formula>
    </cfRule>
    <cfRule type="cellIs" dxfId="331" priority="1427" stopIfTrue="1" operator="equal">
      <formula>$A$31</formula>
    </cfRule>
    <cfRule type="cellIs" dxfId="330" priority="1428" stopIfTrue="1" operator="equal">
      <formula>$A$32</formula>
    </cfRule>
    <cfRule type="cellIs" dxfId="329" priority="1430" stopIfTrue="1" operator="equal">
      <formula>$A$31</formula>
    </cfRule>
    <cfRule type="cellIs" dxfId="328" priority="1431" stopIfTrue="1" operator="equal">
      <formula>$A$32</formula>
    </cfRule>
    <cfRule type="cellIs" dxfId="327" priority="1433" stopIfTrue="1" operator="equal">
      <formula>$A$31</formula>
    </cfRule>
    <cfRule type="cellIs" dxfId="326" priority="1434" stopIfTrue="1" operator="equal">
      <formula>$A$32</formula>
    </cfRule>
  </conditionalFormatting>
  <conditionalFormatting sqref="AW15:AW17">
    <cfRule type="cellIs" dxfId="325" priority="1384" stopIfTrue="1" operator="equal">
      <formula>$A$31</formula>
    </cfRule>
    <cfRule type="cellIs" dxfId="324" priority="1385" stopIfTrue="1" operator="equal">
      <formula>$A$32</formula>
    </cfRule>
  </conditionalFormatting>
  <conditionalFormatting sqref="AW17">
    <cfRule type="cellIs" dxfId="323" priority="1366" stopIfTrue="1" operator="equal">
      <formula>$A$31</formula>
    </cfRule>
    <cfRule type="cellIs" dxfId="322" priority="1367" stopIfTrue="1" operator="equal">
      <formula>$A$32</formula>
    </cfRule>
    <cfRule type="cellIs" dxfId="321" priority="1369" stopIfTrue="1" operator="equal">
      <formula>$A$31</formula>
    </cfRule>
    <cfRule type="cellIs" dxfId="320" priority="1370" stopIfTrue="1" operator="equal">
      <formula>$A$32</formula>
    </cfRule>
    <cfRule type="cellIs" dxfId="319" priority="1372" stopIfTrue="1" operator="equal">
      <formula>$A$31</formula>
    </cfRule>
    <cfRule type="cellIs" dxfId="318" priority="1373" stopIfTrue="1" operator="equal">
      <formula>$A$32</formula>
    </cfRule>
    <cfRule type="cellIs" dxfId="317" priority="1375" stopIfTrue="1" operator="equal">
      <formula>$A$31</formula>
    </cfRule>
    <cfRule type="cellIs" dxfId="316" priority="1376" stopIfTrue="1" operator="equal">
      <formula>$A$32</formula>
    </cfRule>
    <cfRule type="cellIs" dxfId="315" priority="1378" stopIfTrue="1" operator="equal">
      <formula>$A$31</formula>
    </cfRule>
    <cfRule type="cellIs" dxfId="314" priority="1379" stopIfTrue="1" operator="equal">
      <formula>$A$32</formula>
    </cfRule>
    <cfRule type="cellIs" dxfId="313" priority="1381" stopIfTrue="1" operator="equal">
      <formula>$A$31</formula>
    </cfRule>
    <cfRule type="cellIs" dxfId="312" priority="1382" stopIfTrue="1" operator="equal">
      <formula>$A$32</formula>
    </cfRule>
  </conditionalFormatting>
  <conditionalFormatting sqref="AW18">
    <cfRule type="cellIs" dxfId="311" priority="1307" stopIfTrue="1" operator="equal">
      <formula>$A$32</formula>
    </cfRule>
  </conditionalFormatting>
  <conditionalFormatting sqref="BD14:BG14">
    <cfRule type="cellIs" dxfId="310" priority="2008" stopIfTrue="1" operator="equal">
      <formula>$A$32</formula>
    </cfRule>
  </conditionalFormatting>
  <conditionalFormatting sqref="BH19:ES19">
    <cfRule type="cellIs" dxfId="309" priority="102" stopIfTrue="1" operator="equal">
      <formula>$A$32</formula>
    </cfRule>
  </conditionalFormatting>
  <conditionalFormatting sqref="BH13:EZ14">
    <cfRule type="cellIs" dxfId="308" priority="12" stopIfTrue="1" operator="equal">
      <formula>$A$32</formula>
    </cfRule>
  </conditionalFormatting>
  <conditionalFormatting sqref="BK12:BX12">
    <cfRule type="cellIs" dxfId="307" priority="2007" stopIfTrue="1" operator="equal">
      <formula>$A$32</formula>
    </cfRule>
  </conditionalFormatting>
  <conditionalFormatting sqref="BK18:CJ18">
    <cfRule type="cellIs" dxfId="306" priority="592" stopIfTrue="1" operator="equal">
      <formula>$A$32</formula>
    </cfRule>
  </conditionalFormatting>
  <conditionalFormatting sqref="BT17:BU17">
    <cfRule type="cellIs" dxfId="305" priority="2006" stopIfTrue="1" operator="equal">
      <formula>$A$32</formula>
    </cfRule>
  </conditionalFormatting>
  <conditionalFormatting sqref="BY11:BZ11">
    <cfRule type="cellIs" dxfId="304" priority="595" stopIfTrue="1" operator="equal">
      <formula>$A$31</formula>
    </cfRule>
  </conditionalFormatting>
  <conditionalFormatting sqref="BY12:CJ12">
    <cfRule type="cellIs" dxfId="303" priority="594" stopIfTrue="1" operator="equal">
      <formula>$A$32</formula>
    </cfRule>
  </conditionalFormatting>
  <conditionalFormatting sqref="DB15:DB16">
    <cfRule type="cellIs" dxfId="302" priority="1770" stopIfTrue="1" operator="equal">
      <formula>$A$31</formula>
    </cfRule>
    <cfRule type="cellIs" dxfId="301" priority="1987" stopIfTrue="1" operator="equal">
      <formula>$A$31</formula>
    </cfRule>
  </conditionalFormatting>
  <conditionalFormatting sqref="DB15:DE18">
    <cfRule type="cellIs" dxfId="300" priority="1978" stopIfTrue="1" operator="equal">
      <formula>$A$32</formula>
    </cfRule>
    <cfRule type="cellIs" dxfId="299" priority="1982" stopIfTrue="1" operator="equal">
      <formula>$A$32</formula>
    </cfRule>
  </conditionalFormatting>
  <conditionalFormatting sqref="DB17:DE17">
    <cfRule type="cellIs" dxfId="298" priority="1980" stopIfTrue="1" operator="equal">
      <formula>$A$31</formula>
    </cfRule>
    <cfRule type="cellIs" dxfId="297" priority="1989" stopIfTrue="1" operator="equal">
      <formula>$A$31</formula>
    </cfRule>
  </conditionalFormatting>
  <conditionalFormatting sqref="DB17:DF17">
    <cfRule type="cellIs" dxfId="296" priority="1959" stopIfTrue="1" operator="equal">
      <formula>$A$31</formula>
    </cfRule>
  </conditionalFormatting>
  <conditionalFormatting sqref="DE18">
    <cfRule type="cellIs" dxfId="295" priority="1811" stopIfTrue="1" operator="equal">
      <formula>$A$31</formula>
    </cfRule>
    <cfRule type="cellIs" dxfId="294" priority="1986" stopIfTrue="1" operator="equal">
      <formula>$A$31</formula>
    </cfRule>
  </conditionalFormatting>
  <conditionalFormatting sqref="DF15:DF18">
    <cfRule type="cellIs" dxfId="293" priority="1948" stopIfTrue="1" operator="equal">
      <formula>$A$32</formula>
    </cfRule>
    <cfRule type="cellIs" dxfId="292" priority="1951" stopIfTrue="1" operator="equal">
      <formula>$A$32</formula>
    </cfRule>
  </conditionalFormatting>
  <conditionalFormatting sqref="DF17">
    <cfRule type="cellIs" dxfId="291" priority="1949" stopIfTrue="1" operator="equal">
      <formula>$A$31</formula>
    </cfRule>
  </conditionalFormatting>
  <conditionalFormatting sqref="DF17:DF18">
    <cfRule type="cellIs" dxfId="290" priority="1782" stopIfTrue="1" operator="equal">
      <formula>$A$31</formula>
    </cfRule>
    <cfRule type="cellIs" dxfId="289" priority="1955" stopIfTrue="1" operator="equal">
      <formula>$A$31</formula>
    </cfRule>
  </conditionalFormatting>
  <conditionalFormatting sqref="DG17">
    <cfRule type="cellIs" dxfId="288" priority="666" stopIfTrue="1" operator="equal">
      <formula>$A$31</formula>
    </cfRule>
  </conditionalFormatting>
  <conditionalFormatting sqref="DM1:EA1">
    <cfRule type="cellIs" dxfId="287" priority="536" stopIfTrue="1" operator="equal">
      <formula>$A$32</formula>
    </cfRule>
  </conditionalFormatting>
  <conditionalFormatting sqref="DM15:EK18">
    <cfRule type="cellIs" dxfId="286" priority="531" stopIfTrue="1" operator="equal">
      <formula>$A$32</formula>
    </cfRule>
  </conditionalFormatting>
  <conditionalFormatting sqref="EL15:EN18">
    <cfRule type="cellIs" dxfId="285" priority="418" stopIfTrue="1" operator="equal">
      <formula>$A$32</formula>
    </cfRule>
  </conditionalFormatting>
  <conditionalFormatting sqref="EO15:ER18">
    <cfRule type="cellIs" dxfId="284" priority="210" stopIfTrue="1" operator="equal">
      <formula>$A$32</formula>
    </cfRule>
  </conditionalFormatting>
  <conditionalFormatting sqref="EO11:ES11">
    <cfRule type="cellIs" dxfId="283" priority="157" stopIfTrue="1" operator="equal">
      <formula>$A$31</formula>
    </cfRule>
  </conditionalFormatting>
  <conditionalFormatting sqref="EO15:ES17">
    <cfRule type="cellIs" dxfId="282" priority="146" stopIfTrue="1" operator="equal">
      <formula>$A$31</formula>
    </cfRule>
  </conditionalFormatting>
  <conditionalFormatting sqref="ES15:ES18">
    <cfRule type="cellIs" dxfId="281" priority="148" stopIfTrue="1" operator="equal">
      <formula>$A$32</formula>
    </cfRule>
  </conditionalFormatting>
  <conditionalFormatting sqref="ES17">
    <cfRule type="cellIs" dxfId="280" priority="149" stopIfTrue="1" operator="equal">
      <formula>$A$31</formula>
    </cfRule>
  </conditionalFormatting>
  <conditionalFormatting sqref="EU19:EZ19">
    <cfRule type="cellIs" dxfId="279" priority="10" stopIfTrue="1" operator="equal">
      <formula>$A$32</formula>
    </cfRule>
  </conditionalFormatting>
  <conditionalFormatting sqref="EV11:EW11">
    <cfRule type="cellIs" dxfId="278" priority="63" stopIfTrue="1" operator="equal">
      <formula>$A$31</formula>
    </cfRule>
  </conditionalFormatting>
  <conditionalFormatting sqref="EX15:EZ18">
    <cfRule type="cellIs" dxfId="277" priority="1" stopIfTrue="1" operator="equal">
      <formula>$A$32</formula>
    </cfRule>
  </conditionalFormatting>
  <conditionalFormatting sqref="I10:R10">
    <cfRule type="cellIs" dxfId="276" priority="5021" stopIfTrue="1" operator="equal">
      <formula>$B$31</formula>
    </cfRule>
  </conditionalFormatting>
  <conditionalFormatting sqref="AW9:AW12">
    <cfRule type="cellIs" dxfId="275" priority="5214" stopIfTrue="1" operator="equal">
      <formula>$A$32</formula>
    </cfRule>
    <cfRule type="cellIs" dxfId="274" priority="5215" stopIfTrue="1" operator="equal">
      <formula>$A$32</formula>
    </cfRule>
    <cfRule type="cellIs" dxfId="273" priority="5216" stopIfTrue="1" operator="equal">
      <formula>$A$32</formula>
    </cfRule>
    <cfRule type="cellIs" dxfId="272" priority="5217" stopIfTrue="1" operator="equal">
      <formula>$A$32</formula>
    </cfRule>
    <cfRule type="cellIs" dxfId="271" priority="5218" stopIfTrue="1" operator="equal">
      <formula>$A$32</formula>
    </cfRule>
    <cfRule type="cellIs" dxfId="270" priority="5219" stopIfTrue="1" operator="equal">
      <formula>$A$32</formula>
    </cfRule>
    <cfRule type="cellIs" dxfId="269" priority="5220" stopIfTrue="1" operator="equal">
      <formula>$A$32</formula>
    </cfRule>
    <cfRule type="cellIs" dxfId="268" priority="5221" stopIfTrue="1" operator="equal">
      <formula>$A$32</formula>
    </cfRule>
    <cfRule type="cellIs" dxfId="267" priority="5222" stopIfTrue="1" operator="equal">
      <formula>$A$32</formula>
    </cfRule>
    <cfRule type="cellIs" dxfId="266" priority="5223" stopIfTrue="1" operator="equal">
      <formula>$A$32</formula>
    </cfRule>
    <cfRule type="cellIs" dxfId="265" priority="5224" stopIfTrue="1" operator="equal">
      <formula>$A$32</formula>
    </cfRule>
    <cfRule type="cellIs" dxfId="264" priority="5225" stopIfTrue="1" operator="equal">
      <formula>$A$32</formula>
    </cfRule>
    <cfRule type="cellIs" dxfId="263" priority="5226" stopIfTrue="1" operator="equal">
      <formula>$A$32</formula>
    </cfRule>
    <cfRule type="cellIs" dxfId="262" priority="5227" stopIfTrue="1" operator="equal">
      <formula>$A$32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2"/>
  <dimension ref="A1:BZ33"/>
  <sheetViews>
    <sheetView topLeftCell="C1" zoomScale="82" zoomScaleNormal="82" workbookViewId="0">
      <selection activeCell="C26" sqref="C26"/>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28515625" style="642"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style="1192"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1253" customWidth="1"/>
    <col min="54" max="55" width="14.85546875" style="642" customWidth="1"/>
    <col min="56" max="56" width="11.5703125" style="1192" customWidth="1"/>
    <col min="57" max="57" width="11.42578125" style="642" customWidth="1"/>
    <col min="58" max="74" width="11.42578125" style="642"/>
    <col min="75" max="75" width="14.85546875" style="1253" hidden="1" customWidth="1"/>
    <col min="76" max="77" width="11.42578125" style="642"/>
    <col min="78" max="78" width="0" style="1021" hidden="1" customWidth="1"/>
    <col min="79" max="16384" width="11.42578125" style="642"/>
  </cols>
  <sheetData>
    <row r="1" spans="1:78">
      <c r="C1" s="641" t="str">
        <f>Criterios!A9 &amp;"  "&amp;Criterios!B9</f>
        <v>Tribunales de Justicia  ANDALUCIA</v>
      </c>
    </row>
    <row r="2" spans="1:78" ht="16.5" customHeight="1">
      <c r="C2" s="1263" t="str">
        <f>Criterios!A10 &amp;"  "&amp;Criterios!B10 &amp; "  " &amp; IF(NOT(ISBLANK(Criterios!A11)),Criterios!A11 &amp;"  "&amp;Criterios!B11,"")</f>
        <v>Provincias  CADIZ  Resumenes por Partidos Judiciales  SAN ROQUE</v>
      </c>
      <c r="D2" s="641"/>
      <c r="E2" s="646"/>
      <c r="F2" s="646"/>
      <c r="G2" s="647"/>
      <c r="I2" s="646"/>
      <c r="J2" s="648"/>
      <c r="K2" s="646"/>
      <c r="L2" s="646"/>
      <c r="M2" s="649"/>
      <c r="N2" s="649"/>
      <c r="O2" s="646"/>
      <c r="S2" s="646"/>
      <c r="T2" s="650"/>
    </row>
    <row r="3" spans="1:78" ht="21.75" customHeight="1">
      <c r="C3" s="1359"/>
      <c r="D3" s="652"/>
      <c r="G3" s="647"/>
      <c r="I3" s="646"/>
      <c r="BZ3" s="1253"/>
    </row>
    <row r="4" spans="1:78" ht="16.5" customHeight="1" thickBot="1">
      <c r="C4" s="1345"/>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1269"/>
      <c r="BB4" s="654"/>
      <c r="BC4" s="654"/>
      <c r="BW4" s="1269"/>
      <c r="BZ4" s="1253"/>
    </row>
    <row r="5" spans="1:78" ht="15.75" customHeight="1">
      <c r="A5" s="1542" t="s">
        <v>352</v>
      </c>
      <c r="B5" s="1441"/>
      <c r="C5" s="1542"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01" t="s">
        <v>556</v>
      </c>
      <c r="Y5" s="1798" t="s">
        <v>557</v>
      </c>
      <c r="Z5" s="1798" t="s">
        <v>558</v>
      </c>
      <c r="AA5" s="1774" t="s">
        <v>672</v>
      </c>
      <c r="AB5" s="1774" t="s">
        <v>677</v>
      </c>
      <c r="AC5" s="1774" t="s">
        <v>183</v>
      </c>
      <c r="AD5" s="1780" t="s">
        <v>181</v>
      </c>
      <c r="AE5" s="1774" t="s">
        <v>673</v>
      </c>
      <c r="AF5" s="1783" t="s">
        <v>674</v>
      </c>
      <c r="AG5" s="1777" t="s">
        <v>531</v>
      </c>
      <c r="AH5" s="1774" t="s">
        <v>532</v>
      </c>
      <c r="AI5" s="1774" t="s">
        <v>603</v>
      </c>
      <c r="AJ5" s="1786" t="s">
        <v>604</v>
      </c>
      <c r="AK5" s="1777" t="s">
        <v>184</v>
      </c>
      <c r="AL5" s="1774" t="s">
        <v>562</v>
      </c>
      <c r="AM5" s="1774" t="s">
        <v>248</v>
      </c>
      <c r="AN5" s="1774" t="s">
        <v>249</v>
      </c>
      <c r="AO5" s="1774" t="s">
        <v>250</v>
      </c>
      <c r="AP5" s="1774" t="s">
        <v>563</v>
      </c>
      <c r="AQ5" s="1774" t="s">
        <v>251</v>
      </c>
      <c r="AR5" s="1774" t="s">
        <v>564</v>
      </c>
      <c r="AS5" s="1774" t="s">
        <v>565</v>
      </c>
      <c r="AT5" s="1774" t="s">
        <v>566</v>
      </c>
      <c r="AU5" s="1774" t="s">
        <v>591</v>
      </c>
      <c r="AV5" s="1774" t="s">
        <v>584</v>
      </c>
      <c r="AW5" s="1774" t="s">
        <v>795</v>
      </c>
      <c r="AX5" s="1774" t="s">
        <v>798</v>
      </c>
      <c r="AY5" s="1774" t="s">
        <v>800</v>
      </c>
      <c r="AZ5" s="1774" t="s">
        <v>585</v>
      </c>
      <c r="BA5" s="1774" t="s">
        <v>816</v>
      </c>
      <c r="BB5" s="1774" t="s">
        <v>567</v>
      </c>
      <c r="BC5" s="1774" t="s">
        <v>530</v>
      </c>
      <c r="BW5" s="1774" t="s">
        <v>756</v>
      </c>
      <c r="BZ5" s="1253"/>
    </row>
    <row r="6" spans="1:78" ht="21.75" customHeight="1">
      <c r="A6" s="1825"/>
      <c r="B6" s="1442"/>
      <c r="C6" s="1827"/>
      <c r="D6" s="1775"/>
      <c r="E6" s="1775"/>
      <c r="F6" s="1810"/>
      <c r="G6" s="1775"/>
      <c r="H6" s="1775"/>
      <c r="I6" s="1775"/>
      <c r="J6" s="1775"/>
      <c r="K6" s="1775"/>
      <c r="L6" s="1775"/>
      <c r="M6" s="1805"/>
      <c r="N6" s="1775"/>
      <c r="O6" s="1775"/>
      <c r="P6" s="1775"/>
      <c r="Q6" s="1793"/>
      <c r="R6" s="1793"/>
      <c r="S6" s="1775"/>
      <c r="T6" s="1793"/>
      <c r="U6" s="1793"/>
      <c r="V6" s="1793"/>
      <c r="W6" s="1799"/>
      <c r="X6" s="1802"/>
      <c r="Y6" s="1799"/>
      <c r="Z6" s="1799"/>
      <c r="AA6" s="1775"/>
      <c r="AB6" s="1775"/>
      <c r="AC6" s="1775"/>
      <c r="AD6" s="1781"/>
      <c r="AE6" s="1775"/>
      <c r="AF6" s="1784"/>
      <c r="AG6" s="1778"/>
      <c r="AH6" s="1775"/>
      <c r="AI6" s="1775"/>
      <c r="AJ6" s="1787"/>
      <c r="AK6" s="1778"/>
      <c r="AL6" s="1775"/>
      <c r="AM6" s="1775"/>
      <c r="AN6" s="1775"/>
      <c r="AO6" s="1775"/>
      <c r="AP6" s="1775"/>
      <c r="AQ6" s="1775"/>
      <c r="AR6" s="1775"/>
      <c r="AS6" s="1775"/>
      <c r="AT6" s="1775"/>
      <c r="AU6" s="1775"/>
      <c r="AV6" s="1775"/>
      <c r="AW6" s="1775"/>
      <c r="AX6" s="1775"/>
      <c r="AY6" s="1775"/>
      <c r="AZ6" s="1775"/>
      <c r="BA6" s="1775"/>
      <c r="BB6" s="1775"/>
      <c r="BC6" s="1775"/>
      <c r="BW6" s="1775"/>
      <c r="BZ6" s="1253"/>
    </row>
    <row r="7" spans="1:78" ht="38.25" customHeight="1" thickBot="1">
      <c r="A7" s="1826"/>
      <c r="B7" s="1443"/>
      <c r="C7" s="658" t="str">
        <f>DatosP!A7</f>
        <v>COMPETENCIAS</v>
      </c>
      <c r="D7" s="1776"/>
      <c r="E7" s="1776"/>
      <c r="F7" s="1811"/>
      <c r="G7" s="1776"/>
      <c r="H7" s="1776"/>
      <c r="I7" s="1776"/>
      <c r="J7" s="1776"/>
      <c r="K7" s="1776"/>
      <c r="L7" s="1776"/>
      <c r="M7" s="1806"/>
      <c r="N7" s="1776"/>
      <c r="O7" s="1776"/>
      <c r="P7" s="1776"/>
      <c r="Q7" s="1794"/>
      <c r="R7" s="1794"/>
      <c r="S7" s="1776"/>
      <c r="T7" s="1794"/>
      <c r="U7" s="1794"/>
      <c r="V7" s="1794"/>
      <c r="W7" s="1800"/>
      <c r="X7" s="1803"/>
      <c r="Y7" s="1800"/>
      <c r="Z7" s="1800"/>
      <c r="AA7" s="1776"/>
      <c r="AB7" s="1776"/>
      <c r="AC7" s="1776"/>
      <c r="AD7" s="1782"/>
      <c r="AE7" s="1776"/>
      <c r="AF7" s="1785"/>
      <c r="AG7" s="1779"/>
      <c r="AH7" s="1776"/>
      <c r="AI7" s="1776"/>
      <c r="AJ7" s="1788"/>
      <c r="AK7" s="1779"/>
      <c r="AL7" s="1776"/>
      <c r="AM7" s="1776"/>
      <c r="AN7" s="1776"/>
      <c r="AO7" s="1776"/>
      <c r="AP7" s="1776"/>
      <c r="AQ7" s="1776"/>
      <c r="AR7" s="1776"/>
      <c r="AS7" s="1776"/>
      <c r="AT7" s="1776"/>
      <c r="AU7" s="1776"/>
      <c r="AV7" s="1776"/>
      <c r="AW7" s="1776"/>
      <c r="AX7" s="1776"/>
      <c r="AY7" s="1776"/>
      <c r="AZ7" s="1776"/>
      <c r="BA7" s="1776"/>
      <c r="BB7" s="1776"/>
      <c r="BC7" s="1776"/>
      <c r="BW7" s="1776"/>
      <c r="BZ7" s="1253"/>
    </row>
    <row r="8" spans="1:78" ht="15" thickTop="1">
      <c r="A8" s="659"/>
      <c r="B8" s="659"/>
      <c r="C8" s="1201" t="str">
        <f>DatosP!A8</f>
        <v>Jurisdicción Civil ( 1 ):</v>
      </c>
      <c r="D8" s="660"/>
      <c r="E8" s="660"/>
      <c r="F8" s="661"/>
      <c r="G8" s="661"/>
      <c r="H8" s="662"/>
      <c r="I8" s="661"/>
      <c r="J8" s="662"/>
      <c r="K8" s="662"/>
      <c r="L8" s="662"/>
      <c r="M8" s="663"/>
      <c r="N8" s="663"/>
      <c r="O8" s="662"/>
      <c r="P8" s="662"/>
      <c r="Q8" s="664"/>
      <c r="R8" s="664"/>
      <c r="S8" s="662"/>
      <c r="T8" s="664"/>
      <c r="U8" s="1237"/>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1213"/>
      <c r="BB8" s="676"/>
      <c r="BC8" s="677"/>
      <c r="BW8" s="1256"/>
    </row>
    <row r="9" spans="1:78" ht="14.25">
      <c r="A9" s="1275">
        <f>DatosP!AO9</f>
        <v>0</v>
      </c>
      <c r="B9" s="1275" t="s">
        <v>247</v>
      </c>
      <c r="C9" s="1200" t="str">
        <f>DatosP!A9</f>
        <v xml:space="preserve">Jdos. 1ª Instancia   </v>
      </c>
      <c r="D9" s="1276"/>
      <c r="E9" s="690"/>
      <c r="F9" s="680"/>
      <c r="G9" s="681"/>
      <c r="H9" s="682"/>
      <c r="I9" s="680"/>
      <c r="J9" s="682"/>
      <c r="K9" s="682"/>
      <c r="L9" s="682"/>
      <c r="M9" s="679"/>
      <c r="N9" s="679"/>
      <c r="O9" s="682"/>
      <c r="P9" s="682"/>
      <c r="Q9" s="1124"/>
      <c r="R9" s="1124"/>
      <c r="S9" s="682"/>
      <c r="T9" s="722"/>
      <c r="U9" s="1215"/>
      <c r="V9" s="1001"/>
      <c r="W9" s="680"/>
      <c r="X9" s="722"/>
      <c r="Y9" s="680"/>
      <c r="Z9" s="682"/>
      <c r="AA9" s="685"/>
      <c r="AB9" s="686"/>
      <c r="AC9" s="679"/>
      <c r="AD9" s="680"/>
      <c r="AE9" s="669"/>
      <c r="AF9" s="670"/>
      <c r="AG9" s="669"/>
      <c r="AH9" s="670"/>
      <c r="AI9" s="669"/>
      <c r="AJ9" s="670"/>
      <c r="AK9" s="680"/>
      <c r="AL9" s="687"/>
      <c r="AM9" s="687"/>
      <c r="AN9" s="688"/>
      <c r="AO9" s="689"/>
      <c r="AP9" s="690"/>
      <c r="AQ9" s="689"/>
      <c r="AR9" s="691"/>
      <c r="AS9" s="691"/>
      <c r="AT9" s="692"/>
      <c r="AU9" s="693"/>
      <c r="AV9" s="693"/>
      <c r="AW9" s="694"/>
      <c r="AX9" s="694"/>
      <c r="AY9" s="694"/>
      <c r="AZ9" s="694"/>
      <c r="BA9" s="1229"/>
      <c r="BB9" s="694"/>
      <c r="BC9" s="695"/>
      <c r="BD9" s="642"/>
      <c r="BW9" s="1420">
        <f>DatosP!ER9/factor_trimestre</f>
        <v>0</v>
      </c>
      <c r="BZ9" s="1421">
        <f>DatosP!EZ9</f>
        <v>0</v>
      </c>
    </row>
    <row r="10" spans="1:78" ht="14.25">
      <c r="A10" s="1275">
        <f>DatosP!AO10</f>
        <v>0</v>
      </c>
      <c r="B10" s="1280" t="s">
        <v>247</v>
      </c>
      <c r="C10" s="1193" t="str">
        <f>DatosP!A10</f>
        <v>Jdos. Violencia contra la mujer</v>
      </c>
      <c r="D10" s="1281"/>
      <c r="E10" s="690"/>
      <c r="F10" s="680"/>
      <c r="G10" s="681"/>
      <c r="H10" s="682"/>
      <c r="I10" s="680"/>
      <c r="J10" s="682"/>
      <c r="K10" s="682"/>
      <c r="L10" s="682"/>
      <c r="M10" s="679"/>
      <c r="N10" s="679"/>
      <c r="O10" s="682"/>
      <c r="P10" s="682"/>
      <c r="Q10" s="1124"/>
      <c r="R10" s="1124"/>
      <c r="S10" s="682"/>
      <c r="T10" s="722"/>
      <c r="U10" s="1215"/>
      <c r="V10" s="1001"/>
      <c r="W10" s="680"/>
      <c r="X10" s="722"/>
      <c r="Y10" s="680"/>
      <c r="Z10" s="682"/>
      <c r="AA10" s="685"/>
      <c r="AB10" s="686"/>
      <c r="AC10" s="679"/>
      <c r="AD10" s="680"/>
      <c r="AE10" s="669"/>
      <c r="AF10" s="670"/>
      <c r="AG10" s="669"/>
      <c r="AH10" s="670"/>
      <c r="AI10" s="669"/>
      <c r="AJ10" s="670"/>
      <c r="AK10" s="680"/>
      <c r="AL10" s="687"/>
      <c r="AM10" s="687"/>
      <c r="AN10" s="688"/>
      <c r="AO10" s="689"/>
      <c r="AP10" s="690"/>
      <c r="AQ10" s="689"/>
      <c r="AR10" s="691"/>
      <c r="AS10" s="691"/>
      <c r="AT10" s="692"/>
      <c r="AU10" s="693"/>
      <c r="AV10" s="693"/>
      <c r="AW10" s="694"/>
      <c r="AX10" s="694"/>
      <c r="AY10" s="694"/>
      <c r="AZ10" s="694"/>
      <c r="BA10" s="1229"/>
      <c r="BB10" s="694"/>
      <c r="BC10" s="695"/>
      <c r="BD10" s="642"/>
      <c r="BW10" s="1420">
        <f>DatosP!ER10/factor_trimestre</f>
        <v>0</v>
      </c>
      <c r="BZ10" s="1421">
        <f>DatosP!EZ10</f>
        <v>0</v>
      </c>
    </row>
    <row r="11" spans="1:78" ht="14.25">
      <c r="A11" s="1275">
        <f>DatosP!AO11</f>
        <v>0</v>
      </c>
      <c r="B11" s="1280" t="s">
        <v>247</v>
      </c>
      <c r="C11" s="1193" t="str">
        <f>DatosP!A11</f>
        <v xml:space="preserve">Jdos. Familia                                   </v>
      </c>
      <c r="D11" s="1281"/>
      <c r="E11" s="690"/>
      <c r="F11" s="680"/>
      <c r="G11" s="681"/>
      <c r="H11" s="682"/>
      <c r="I11" s="680"/>
      <c r="J11" s="682"/>
      <c r="K11" s="682"/>
      <c r="L11" s="682"/>
      <c r="M11" s="679"/>
      <c r="N11" s="679"/>
      <c r="O11" s="682"/>
      <c r="P11" s="682"/>
      <c r="Q11" s="1124"/>
      <c r="R11" s="1124"/>
      <c r="S11" s="682"/>
      <c r="T11" s="722"/>
      <c r="U11" s="1215"/>
      <c r="V11" s="1001"/>
      <c r="W11" s="680"/>
      <c r="X11" s="722"/>
      <c r="Y11" s="680"/>
      <c r="Z11" s="682"/>
      <c r="AA11" s="685"/>
      <c r="AB11" s="686"/>
      <c r="AC11" s="679"/>
      <c r="AD11" s="680"/>
      <c r="AE11" s="669"/>
      <c r="AF11" s="670"/>
      <c r="AG11" s="669"/>
      <c r="AH11" s="670"/>
      <c r="AI11" s="669"/>
      <c r="AJ11" s="670"/>
      <c r="AK11" s="680"/>
      <c r="AL11" s="687"/>
      <c r="AM11" s="687"/>
      <c r="AN11" s="688"/>
      <c r="AO11" s="689"/>
      <c r="AP11" s="690"/>
      <c r="AQ11" s="689"/>
      <c r="AR11" s="691"/>
      <c r="AS11" s="691"/>
      <c r="AT11" s="692"/>
      <c r="AU11" s="693"/>
      <c r="AV11" s="693"/>
      <c r="AW11" s="694"/>
      <c r="AX11" s="694"/>
      <c r="AY11" s="694"/>
      <c r="AZ11" s="694"/>
      <c r="BA11" s="1229"/>
      <c r="BB11" s="694"/>
      <c r="BC11" s="695"/>
      <c r="BD11" s="642"/>
      <c r="BW11" s="1420">
        <f>DatosP!ER11/factor_trimestre</f>
        <v>0</v>
      </c>
      <c r="BZ11" s="1421">
        <f>DatosP!EZ11</f>
        <v>0</v>
      </c>
    </row>
    <row r="12" spans="1:78" ht="15" thickBot="1">
      <c r="A12" s="1275">
        <f>DatosP!AO12</f>
        <v>0</v>
      </c>
      <c r="B12" s="1280" t="s">
        <v>247</v>
      </c>
      <c r="C12" s="1193" t="str">
        <f>DatosP!A12</f>
        <v xml:space="preserve">Jdos. 1ª Instª. e Instr.                        </v>
      </c>
      <c r="D12" s="1281"/>
      <c r="E12" s="690"/>
      <c r="F12" s="680"/>
      <c r="G12" s="681"/>
      <c r="H12" s="682"/>
      <c r="I12" s="680"/>
      <c r="J12" s="682"/>
      <c r="K12" s="682"/>
      <c r="L12" s="682"/>
      <c r="M12" s="679"/>
      <c r="N12" s="679"/>
      <c r="O12" s="682"/>
      <c r="P12" s="682"/>
      <c r="Q12" s="1124"/>
      <c r="R12" s="1124"/>
      <c r="S12" s="682"/>
      <c r="T12" s="722"/>
      <c r="U12" s="1215"/>
      <c r="V12" s="1001"/>
      <c r="W12" s="680"/>
      <c r="X12" s="722"/>
      <c r="Y12" s="680"/>
      <c r="Z12" s="682"/>
      <c r="AA12" s="685"/>
      <c r="AB12" s="686"/>
      <c r="AC12" s="679"/>
      <c r="AD12" s="680"/>
      <c r="AE12" s="669"/>
      <c r="AF12" s="670"/>
      <c r="AG12" s="669"/>
      <c r="AH12" s="670"/>
      <c r="AI12" s="669"/>
      <c r="AJ12" s="670"/>
      <c r="AK12" s="680"/>
      <c r="AL12" s="687"/>
      <c r="AM12" s="687"/>
      <c r="AN12" s="688"/>
      <c r="AO12" s="689"/>
      <c r="AP12" s="690"/>
      <c r="AQ12" s="689"/>
      <c r="AR12" s="691"/>
      <c r="AS12" s="691"/>
      <c r="AT12" s="692"/>
      <c r="AU12" s="693"/>
      <c r="AV12" s="693"/>
      <c r="AW12" s="694"/>
      <c r="AX12" s="694"/>
      <c r="AY12" s="694"/>
      <c r="AZ12" s="694"/>
      <c r="BA12" s="1229"/>
      <c r="BB12" s="694"/>
      <c r="BC12" s="695"/>
      <c r="BD12" s="642"/>
      <c r="BW12" s="1420">
        <f>DatosP!ER12/factor_trimestre</f>
        <v>0</v>
      </c>
      <c r="BZ12" s="1421">
        <f>DatosP!EZ12</f>
        <v>0</v>
      </c>
    </row>
    <row r="13" spans="1:78" ht="15.75" thickTop="1" thickBot="1">
      <c r="A13" s="698"/>
      <c r="B13" s="698"/>
      <c r="C13" s="931" t="str">
        <f>DatosP!A13</f>
        <v>TOTAL</v>
      </c>
      <c r="D13" s="932"/>
      <c r="E13" s="943">
        <f t="shared" ref="E13:W13" si="0">SUBTOTAL(9,E8:E12)</f>
        <v>0</v>
      </c>
      <c r="F13" s="933">
        <f t="shared" si="0"/>
        <v>0</v>
      </c>
      <c r="G13" s="933">
        <f t="shared" si="0"/>
        <v>0</v>
      </c>
      <c r="H13" s="934">
        <f t="shared" si="0"/>
        <v>0</v>
      </c>
      <c r="I13" s="933">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1383">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0.38388625592417064</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1392">
        <f t="shared" si="2"/>
        <v>0</v>
      </c>
      <c r="BB13" s="934"/>
      <c r="BC13" s="934"/>
      <c r="BW13" s="1392"/>
      <c r="BZ13" s="1421"/>
    </row>
    <row r="14" spans="1:78" ht="15" thickTop="1">
      <c r="A14" s="1282"/>
      <c r="B14" s="1282"/>
      <c r="C14" s="1234" t="str">
        <f>DatosP!A14</f>
        <v xml:space="preserve">Jurisdicción Penal ( 2 ):                      </v>
      </c>
      <c r="D14" s="1283"/>
      <c r="E14" s="701"/>
      <c r="F14" s="702"/>
      <c r="G14" s="702"/>
      <c r="H14" s="703"/>
      <c r="I14" s="704"/>
      <c r="J14" s="662"/>
      <c r="K14" s="703"/>
      <c r="L14" s="682"/>
      <c r="M14" s="703"/>
      <c r="N14" s="703"/>
      <c r="O14" s="682"/>
      <c r="P14" s="682"/>
      <c r="Q14" s="1126"/>
      <c r="R14" s="1126"/>
      <c r="S14" s="682"/>
      <c r="T14" s="706"/>
      <c r="U14" s="1238"/>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1286"/>
      <c r="BB14" s="694"/>
      <c r="BC14" s="695"/>
      <c r="BW14" s="1259"/>
      <c r="BZ14" s="1182"/>
    </row>
    <row r="15" spans="1:78" s="718" customFormat="1" ht="15">
      <c r="A15" s="1330">
        <f>DatosP!AO15</f>
        <v>0</v>
      </c>
      <c r="B15" s="1331" t="s">
        <v>397</v>
      </c>
      <c r="C15" s="1337" t="str">
        <f>DatosP!A15</f>
        <v xml:space="preserve">Jdos. Instrucción                               </v>
      </c>
      <c r="D15" s="1338"/>
      <c r="E15" s="1167"/>
      <c r="F15" s="711"/>
      <c r="G15" s="712"/>
      <c r="H15" s="713"/>
      <c r="I15" s="711"/>
      <c r="J15" s="682"/>
      <c r="K15" s="713"/>
      <c r="L15" s="682"/>
      <c r="M15" s="714"/>
      <c r="N15" s="714"/>
      <c r="O15" s="682"/>
      <c r="P15" s="682"/>
      <c r="Q15" s="1127"/>
      <c r="R15" s="1127"/>
      <c r="S15" s="682"/>
      <c r="T15" s="706"/>
      <c r="U15" s="1215" t="str">
        <f>IF(ISNUMBER(DatosP!EO15),DatosP!EO15," - ")</f>
        <v xml:space="preserve"> - </v>
      </c>
      <c r="V15" s="1001" t="e">
        <f>(U15/DatosP!ER15)*factor_trimestre</f>
        <v>#VALUE!</v>
      </c>
      <c r="W15" s="680"/>
      <c r="X15" s="706"/>
      <c r="Y15" s="680"/>
      <c r="Z15" s="682"/>
      <c r="AA15" s="716"/>
      <c r="AB15" s="686"/>
      <c r="AC15" s="679"/>
      <c r="AD15" s="680"/>
      <c r="AE15" s="669"/>
      <c r="AF15" s="670"/>
      <c r="AG15" s="669"/>
      <c r="AH15" s="670"/>
      <c r="AI15" s="669"/>
      <c r="AJ15" s="670"/>
      <c r="AK15" s="680"/>
      <c r="AL15" s="687"/>
      <c r="AM15" s="687"/>
      <c r="AN15" s="688"/>
      <c r="AO15" s="689" t="str">
        <f>IF(ISNUMBER(IF(D_I="SI",DatosP!K15/DatosP!J15,(DatosP!K15+DatosP!AE15)/(DatosP!J15+DatosP!AD15))),IF(D_I="SI",DatosP!K15/DatosP!J15,(DatosP!K15+DatosP!AE15)/(DatosP!J15+DatosP!AD15))," - ")</f>
        <v xml:space="preserve"> - </v>
      </c>
      <c r="AP15" s="690" t="str">
        <f>IF(ISNUMBER(((IF(D_I="SI",DatosP!L15/DatosP!K15,(DatosP!L15+DatosP!AF15)/(DatosP!K15+DatosP!AE15)))*11)/factor_trimestre),((IF(D_I="SI",DatosP!L15/DatosP!K15,(DatosP!L15+DatosP!AF15)/(DatosP!K15+DatosP!AE15)))*11)/factor_trimestre," - ")</f>
        <v xml:space="preserve"> - </v>
      </c>
      <c r="AQ15" s="689"/>
      <c r="AR15" s="691"/>
      <c r="AS15" s="691"/>
      <c r="AT15" s="707"/>
      <c r="AU15" s="717"/>
      <c r="AV15" s="717"/>
      <c r="AW15" s="694"/>
      <c r="AX15" s="694"/>
      <c r="AY15" s="710"/>
      <c r="AZ15" s="710"/>
      <c r="BA15" s="1334"/>
      <c r="BB15" s="694"/>
      <c r="BC15" s="695"/>
      <c r="BW15" s="1420">
        <f>DatosP!ER15/factor_trimestre</f>
        <v>0</v>
      </c>
      <c r="BZ15" s="1182">
        <f>DatosP!EZ15</f>
        <v>0</v>
      </c>
    </row>
    <row r="16" spans="1:78" s="718" customFormat="1" ht="15">
      <c r="A16" s="1330">
        <f>DatosP!AO16</f>
        <v>0</v>
      </c>
      <c r="B16" s="1331" t="s">
        <v>397</v>
      </c>
      <c r="C16" s="1337" t="str">
        <f>DatosP!A16</f>
        <v xml:space="preserve">Jdos. Instrucción                               </v>
      </c>
      <c r="D16" s="1338"/>
      <c r="E16" s="1167"/>
      <c r="F16" s="711"/>
      <c r="G16" s="712"/>
      <c r="H16" s="713"/>
      <c r="I16" s="711"/>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706"/>
      <c r="Y16" s="680"/>
      <c r="Z16" s="682"/>
      <c r="AA16" s="716"/>
      <c r="AB16" s="686"/>
      <c r="AC16" s="679"/>
      <c r="AD16" s="680"/>
      <c r="AE16" s="669"/>
      <c r="AF16" s="670"/>
      <c r="AG16" s="669"/>
      <c r="AH16" s="670"/>
      <c r="AI16" s="669"/>
      <c r="AJ16" s="670"/>
      <c r="AK16" s="680"/>
      <c r="AL16" s="687"/>
      <c r="AM16" s="687"/>
      <c r="AN16" s="688"/>
      <c r="AO16" s="689" t="str">
        <f>IF(ISNUMBER(IF(D_I="SI",DatosP!K16/DatosP!J16,(DatosP!K16+DatosP!AE16)/(DatosP!J16+DatosP!AD16))),IF(D_I="SI",DatosP!K16/DatosP!J16,(DatosP!K16+DatosP!AE16)/(DatosP!J16+DatosP!AD16))," - ")</f>
        <v xml:space="preserve"> - </v>
      </c>
      <c r="AP16" s="690" t="str">
        <f>IF(ISNUMBER(((IF(D_I="SI",DatosP!L16/DatosP!K16,(DatosP!L16+DatosP!AF16)/(DatosP!K16+DatosP!AE16)))*11)/factor_trimestre),((IF(D_I="SI",DatosP!L16/DatosP!K16,(DatosP!L16+DatosP!AF16)/(DatosP!K16+DatosP!AE16)))*11)/factor_trimestre," - ")</f>
        <v xml:space="preserve"> - </v>
      </c>
      <c r="AQ16" s="689"/>
      <c r="AR16" s="691"/>
      <c r="AS16" s="691"/>
      <c r="AT16" s="707"/>
      <c r="AU16" s="717"/>
      <c r="AV16" s="717"/>
      <c r="AW16" s="694"/>
      <c r="AX16" s="694"/>
      <c r="AY16" s="710"/>
      <c r="AZ16" s="710"/>
      <c r="BA16" s="1334"/>
      <c r="BB16" s="694"/>
      <c r="BC16" s="695"/>
      <c r="BW16" s="1420">
        <f>DatosP!ER16/factor_trimestre</f>
        <v>0</v>
      </c>
      <c r="BZ16" s="1182">
        <f>DatosP!EZ16</f>
        <v>0</v>
      </c>
    </row>
    <row r="17" spans="1:78" ht="15">
      <c r="A17" s="1275">
        <f>DatosP!AO17</f>
        <v>0</v>
      </c>
      <c r="B17" s="1280" t="s">
        <v>397</v>
      </c>
      <c r="C17" s="1200" t="str">
        <f>DatosP!A17</f>
        <v xml:space="preserve">Jdos. 1ª Instª. e Instr.                        </v>
      </c>
      <c r="D17" s="1276"/>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680"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1215" t="str">
        <f>IF(ISNUMBER(DatosP!EO17),DatosP!EO17," - ")</f>
        <v xml:space="preserve"> - </v>
      </c>
      <c r="V17" s="1001" t="e">
        <f>(U17/DatosP!ER17)*factor_trimestre</f>
        <v>#VALUE!</v>
      </c>
      <c r="W17" s="680" t="str">
        <f>IF(ISNUMBER(DatosP!BY17),DatosP!BY17," - ")</f>
        <v xml:space="preserve"> - </v>
      </c>
      <c r="X17" s="722" t="str">
        <f>IF(ISNUMBER((W17*factor_trimestre)/DatosP!CN17),(W17*factor_trimestre)/DatosP!CN17,"-")</f>
        <v>-</v>
      </c>
      <c r="Y17" s="680" t="str">
        <f>IF(ISNUMBER(IF(D_I="SI",DatosP!K17,DatosP!K17+DatosP!AE17)),IF(D_I="SI",DatosP!K17,DatosP!K17+DatosP!AE17)," - ")</f>
        <v xml:space="preserve"> - </v>
      </c>
      <c r="Z17" s="682" t="str">
        <f>IF(ISNUMBER(DatosP!Q17),DatosP!Q17," - ")</f>
        <v xml:space="preserve"> - </v>
      </c>
      <c r="AA17" s="685" t="str">
        <f>IF(ISNUMBER(IF(D_I="SI",DatosP!L17,DatosP!L17+DatosP!AF17)),IF(D_I="SI",DatosP!L17,DatosP!L17+DatosP!AF17)," - ")</f>
        <v xml:space="preserve"> - </v>
      </c>
      <c r="AB17" s="686" t="str">
        <f>IF(ISNUMBER(DatosP!R17),DatosP!R17," - ")</f>
        <v xml:space="preserve"> - </v>
      </c>
      <c r="AC17" s="679" t="str">
        <f>IF(ISNUMBER(DatosP!BV17),DatosP!BV17," - ")</f>
        <v xml:space="preserve"> - </v>
      </c>
      <c r="AD17" s="680" t="str">
        <f>IF(ISNUMBER(DatosP!CK17),DatosP!CK17," - ")</f>
        <v xml:space="preserve"> - </v>
      </c>
      <c r="AE17" s="669" t="str">
        <f>IF(ISNUMBER(DatosP!CL17),DatosP!CL17," - ")</f>
        <v xml:space="preserve"> - </v>
      </c>
      <c r="AF17" s="670" t="str">
        <f>IF(ISNUMBER(DatosP!CM17),DatosP!CM17," - ")</f>
        <v xml:space="preserve"> - </v>
      </c>
      <c r="AG17" s="669" t="str">
        <f>IF(ISNUMBER(DatosP!DV17),DatosP!DV17," - ")</f>
        <v xml:space="preserve"> - </v>
      </c>
      <c r="AH17" s="670"/>
      <c r="AI17" s="669"/>
      <c r="AJ17" s="670"/>
      <c r="AK17" s="680" t="str">
        <f>IF(ISNUMBER(DatosP!M17),DatosP!M17," - ")</f>
        <v xml:space="preserve"> - </v>
      </c>
      <c r="AL17" s="687" t="str">
        <f>IF(ISNUMBER(DatosP!N17),DatosP!N17," - ")</f>
        <v xml:space="preserve"> - </v>
      </c>
      <c r="AM17" s="687" t="str">
        <f>IF(ISNUMBER(DatosP!BW17),DatosP!BW17," - ")</f>
        <v xml:space="preserve"> - </v>
      </c>
      <c r="AN17" s="688" t="str">
        <f>IF(ISNUMBER(DatosP!BX17),DatosP!BX17," - ")</f>
        <v xml:space="preserve"> - </v>
      </c>
      <c r="AO17" s="689" t="str">
        <f>IF(ISNUMBER(IF(D_I="SI",DatosP!K17/DatosP!J17,(DatosP!K17+DatosP!AE17)/(DatosP!J17+DatosP!AD17))),IF(D_I="SI",DatosP!K17/DatosP!J17,(DatosP!K17+DatosP!AE17)/(DatosP!J17+DatosP!AD17))," - ")</f>
        <v xml:space="preserve"> - </v>
      </c>
      <c r="AP17" s="690"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691"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694" t="str">
        <f>IF(ISNUMBER(DatosP!EV17),DatosP!EV17," - ")</f>
        <v xml:space="preserve"> - </v>
      </c>
      <c r="AX17" s="694" t="str">
        <f>IF(ISNUMBER(DatosP!CW17),DatosP!CW17," - ")</f>
        <v xml:space="preserve"> - </v>
      </c>
      <c r="AY17" s="694"/>
      <c r="AZ17" s="694"/>
      <c r="BA17" s="1334"/>
      <c r="BB17" s="694">
        <f>DatosP!CX17</f>
        <v>0</v>
      </c>
      <c r="BC17" s="695">
        <f>DatosP!DU17</f>
        <v>0</v>
      </c>
      <c r="BD17" s="642"/>
      <c r="BW17" s="1420">
        <f>DatosP!ER17/factor_trimestre</f>
        <v>0</v>
      </c>
      <c r="BZ17" s="1182">
        <f>DatosP!EZ17</f>
        <v>0</v>
      </c>
    </row>
    <row r="18" spans="1:78" ht="15.75" thickBot="1">
      <c r="A18" s="1275">
        <f>DatosP!AO18</f>
        <v>0</v>
      </c>
      <c r="B18" s="1280" t="s">
        <v>397</v>
      </c>
      <c r="C18" s="1193" t="str">
        <f>DatosP!A18</f>
        <v>Jdos. Violencia contra la mujer</v>
      </c>
      <c r="D18" s="1281"/>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680"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1215" t="str">
        <f>IF(ISNUMBER(DatosP!EO18),DatosP!EO18," - ")</f>
        <v xml:space="preserve"> - </v>
      </c>
      <c r="V18" s="1001" t="e">
        <f>(U18/DatosP!ER18)*factor_trimestre</f>
        <v>#VALUE!</v>
      </c>
      <c r="W18" s="680">
        <f>IF(ISNUMBER(DatosP!BY18+DatosP!BZ18),DatosP!BY18+DatosP!BZ18," - ")</f>
        <v>0</v>
      </c>
      <c r="X18" s="722" t="str">
        <f>IF(ISNUMBER((W18*factor_trimestre)/DatosP!CN18),(W18*factor_trimestre)/DatosP!CN18,"-")</f>
        <v>-</v>
      </c>
      <c r="Y18" s="680" t="str">
        <f>IF(ISNUMBER(IF(D_I="SI",DatosP!K18,DatosP!K18+DatosP!AE18)),IF(D_I="SI",DatosP!K18,DatosP!K18+DatosP!AE18)," - ")</f>
        <v xml:space="preserve"> - </v>
      </c>
      <c r="Z18" s="682" t="str">
        <f>IF(ISNUMBER(DatosP!Q18),DatosP!Q18," - ")</f>
        <v xml:space="preserve"> - </v>
      </c>
      <c r="AA18" s="685" t="str">
        <f>IF(ISNUMBER(DatosP!L18),DatosP!L18,"-")</f>
        <v>-</v>
      </c>
      <c r="AB18" s="686" t="str">
        <f>IF(ISNUMBER(DatosP!R18),DatosP!R18," - ")</f>
        <v xml:space="preserve"> - </v>
      </c>
      <c r="AC18" s="679" t="str">
        <f>IF(ISNUMBER(DatosP!BV18),DatosP!BV18," - ")</f>
        <v xml:space="preserve"> - </v>
      </c>
      <c r="AD18" s="680" t="str">
        <f>IF(ISNUMBER(DatosP!CK18),DatosP!CK18," - ")</f>
        <v xml:space="preserve"> - </v>
      </c>
      <c r="AE18" s="669" t="str">
        <f>IF(ISNUMBER(DatosP!CL18),DatosP!CL18," - ")</f>
        <v xml:space="preserve"> - </v>
      </c>
      <c r="AF18" s="670" t="str">
        <f>IF(ISNUMBER(DatosP!CM18),DatosP!CM18," - ")</f>
        <v xml:space="preserve"> - </v>
      </c>
      <c r="AG18" s="669" t="str">
        <f>IF(ISNUMBER(DatosP!DV18),DatosP!DV18," - ")</f>
        <v xml:space="preserve"> - </v>
      </c>
      <c r="AH18" s="670"/>
      <c r="AI18" s="669"/>
      <c r="AJ18" s="670"/>
      <c r="AK18" s="680" t="str">
        <f>IF(ISNUMBER(DatosP!M18),DatosP!M18," - ")</f>
        <v xml:space="preserve"> - </v>
      </c>
      <c r="AL18" s="687" t="str">
        <f>IF(ISNUMBER(DatosP!N18),DatosP!N18," - ")</f>
        <v xml:space="preserve"> - </v>
      </c>
      <c r="AM18" s="687" t="str">
        <f>IF(ISNUMBER(DatosP!BW18),DatosP!BW18," - ")</f>
        <v xml:space="preserve"> - </v>
      </c>
      <c r="AN18" s="688" t="str">
        <f>IF(ISNUMBER(DatosP!BX18),DatosP!BX18," - ")</f>
        <v xml:space="preserve"> - </v>
      </c>
      <c r="AO18" s="689" t="str">
        <f>IF(ISNUMBER(IF(D_I="SI",DatosP!K18/DatosP!J18,(DatosP!K18+DatosP!AE18)/(DatosP!J18+DatosP!AD18))),IF(D_I="SI",DatosP!K18/DatosP!J18,(DatosP!K18+DatosP!AE18)/(DatosP!J18+DatosP!AD18))," - ")</f>
        <v xml:space="preserve"> - </v>
      </c>
      <c r="AP18" s="690"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691"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694" t="str">
        <f>IF(ISNUMBER(DatosP!EV18),DatosP!EV18," - ")</f>
        <v xml:space="preserve"> - </v>
      </c>
      <c r="AX18" s="694" t="str">
        <f>IF(ISNUMBER(DatosP!CW18),DatosP!CW18," - ")</f>
        <v xml:space="preserve"> - </v>
      </c>
      <c r="AY18" s="694"/>
      <c r="AZ18" s="694"/>
      <c r="BA18" s="1229"/>
      <c r="BB18" s="694">
        <f>DatosP!CX18</f>
        <v>0</v>
      </c>
      <c r="BC18" s="695">
        <f>DatosP!DU18</f>
        <v>0</v>
      </c>
      <c r="BD18" s="642"/>
      <c r="BW18" s="1420">
        <f>DatosP!ER18/factor_trimestre</f>
        <v>0</v>
      </c>
      <c r="BZ18" s="1182">
        <f>DatosP!EZ18</f>
        <v>0</v>
      </c>
    </row>
    <row r="19" spans="1:78" ht="15.75" thickTop="1" thickBot="1">
      <c r="A19" s="698"/>
      <c r="B19" s="698"/>
      <c r="C19" s="931" t="str">
        <f>DatosP!A19</f>
        <v>TOTAL</v>
      </c>
      <c r="D19" s="932"/>
      <c r="E19" s="943">
        <f>SUBTOTAL(9,E15:E18)</f>
        <v>0</v>
      </c>
      <c r="F19" s="933">
        <f>SUBTOTAL(9,F15:F18)</f>
        <v>0</v>
      </c>
      <c r="G19" s="933">
        <f>SUBTOTAL(9,G15:G18)</f>
        <v>0</v>
      </c>
      <c r="H19" s="934">
        <f>SUBTOTAL(9,H15:H18)</f>
        <v>0</v>
      </c>
      <c r="I19" s="933">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1382">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1392"/>
      <c r="BB19" s="934"/>
      <c r="BC19" s="942"/>
      <c r="BW19" s="903"/>
      <c r="BZ19" s="1421"/>
    </row>
    <row r="20" spans="1:78"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946">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1385">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915"/>
    </row>
    <row r="21" spans="1:78"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956"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1364">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922"/>
    </row>
    <row r="22" spans="1:78"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733">
        <f>IF(ISNUMBER(STDEV(I8:I19)),STDEV(I8:I19),"-")</f>
        <v>0</v>
      </c>
      <c r="J22" s="736">
        <f>IF(ISNUMBER(STDEV(J8:J19)),STDEV(J8:J19),"-")</f>
        <v>0</v>
      </c>
      <c r="K22" s="735"/>
      <c r="L22" s="735"/>
      <c r="M22" s="735"/>
      <c r="N22" s="735"/>
      <c r="O22" s="735"/>
      <c r="P22" s="735"/>
      <c r="Q22" s="1130"/>
      <c r="R22" s="1130"/>
      <c r="S22" s="735"/>
      <c r="T22" s="1130"/>
      <c r="U22" s="1239"/>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0.27144857476829554</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10">
        <f>IF(ISNUMBER(STDEV(BW8:BW19)),STDEV(BW8:BW19),"-")</f>
        <v>0</v>
      </c>
    </row>
    <row r="23" spans="1:78" ht="12" customHeight="1" thickTop="1">
      <c r="C23" s="1194"/>
      <c r="D23" s="1194"/>
      <c r="F23" s="749"/>
      <c r="G23" s="749"/>
      <c r="H23" s="749"/>
      <c r="I23" s="749"/>
      <c r="K23" s="749"/>
      <c r="L23" s="749"/>
      <c r="M23" s="750"/>
      <c r="N23" s="750"/>
      <c r="O23" s="749"/>
      <c r="P23" s="749"/>
      <c r="Q23" s="1131"/>
      <c r="R23" s="1131"/>
      <c r="S23" s="749"/>
      <c r="T23" s="1131"/>
      <c r="U23" s="1196"/>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1311"/>
      <c r="BB23" s="754"/>
      <c r="BC23" s="749"/>
      <c r="BW23" s="1311"/>
    </row>
    <row r="24" spans="1:78" ht="14.25">
      <c r="C24" s="1200"/>
      <c r="D24" s="1289"/>
      <c r="E24" s="755"/>
      <c r="F24" s="756"/>
      <c r="G24" s="687"/>
      <c r="H24" s="757"/>
      <c r="I24" s="757"/>
      <c r="J24" s="758"/>
      <c r="K24" s="757"/>
      <c r="L24" s="757"/>
      <c r="M24" s="723"/>
      <c r="N24" s="723"/>
      <c r="O24" s="757"/>
      <c r="P24" s="757"/>
      <c r="Q24" s="1124"/>
      <c r="R24" s="1124"/>
      <c r="S24" s="757"/>
      <c r="T24" s="1124"/>
      <c r="U24" s="1240"/>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1316"/>
      <c r="BB24" s="761"/>
      <c r="BC24" s="761"/>
      <c r="BW24" s="1318"/>
    </row>
    <row r="25" spans="1:78" ht="14.25">
      <c r="C25" s="1193"/>
      <c r="D25" s="1292"/>
      <c r="E25" s="755"/>
      <c r="F25" s="756"/>
      <c r="G25" s="687"/>
      <c r="H25" s="757"/>
      <c r="I25" s="757"/>
      <c r="J25" s="758"/>
      <c r="K25" s="757"/>
      <c r="L25" s="757"/>
      <c r="M25" s="723"/>
      <c r="N25" s="723"/>
      <c r="O25" s="757"/>
      <c r="P25" s="757"/>
      <c r="Q25" s="1124"/>
      <c r="R25" s="1124"/>
      <c r="S25" s="757"/>
      <c r="T25" s="1124"/>
      <c r="U25" s="1240"/>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1316"/>
      <c r="BB25" s="761"/>
      <c r="BC25" s="761"/>
      <c r="BW25" s="1318"/>
    </row>
    <row r="26" spans="1:78" ht="12.75" hidden="1" customHeight="1">
      <c r="C26" s="1293" t="s">
        <v>263</v>
      </c>
      <c r="D26" s="1292"/>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525"/>
    </row>
    <row r="27" spans="1:78" ht="12.75" hidden="1" customHeight="1">
      <c r="C27" s="1293" t="s">
        <v>264</v>
      </c>
      <c r="D27" s="1292"/>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525"/>
    </row>
    <row r="28" spans="1:78">
      <c r="C28" s="1194"/>
      <c r="D28" s="1194"/>
    </row>
    <row r="31" spans="1:78">
      <c r="C31" s="642" t="str">
        <f>Criterios!A4</f>
        <v>Fecha Informe: 18 jun. 2026</v>
      </c>
    </row>
    <row r="33" spans="3:4">
      <c r="C33" s="771"/>
      <c r="D33" s="771"/>
    </row>
  </sheetData>
  <sheetProtection algorithmName="SHA-512" hashValue="jaMxKUrMbZjDTxtrkaXxIofI+3B2+9nGkV5APDxLidDwjplHGeEb3V81ijidRmFgB9zUwk+Fgj4PYcdahX1Uzw==" saltValue="cXUgkM0APITtP3iCWhjeRQ==" spinCount="100000" sheet="1" objects="1" scenarios="1"/>
  <mergeCells count="55">
    <mergeCell ref="BW5:BW7"/>
    <mergeCell ref="AX5:AX7"/>
    <mergeCell ref="AY5:AY7"/>
    <mergeCell ref="AZ5:AZ7"/>
    <mergeCell ref="BA5:BA7"/>
    <mergeCell ref="BB5:BB7"/>
    <mergeCell ref="BC5:BC7"/>
    <mergeCell ref="AW5:AW7"/>
    <mergeCell ref="AL5:AL7"/>
    <mergeCell ref="AM5:AM7"/>
    <mergeCell ref="AN5:AN7"/>
    <mergeCell ref="AO5:AO7"/>
    <mergeCell ref="AP5:AP7"/>
    <mergeCell ref="AQ5:AQ7"/>
    <mergeCell ref="AR5:AR7"/>
    <mergeCell ref="AS5:AS7"/>
    <mergeCell ref="AT5:AT7"/>
    <mergeCell ref="AU5:AU7"/>
    <mergeCell ref="AV5:AV7"/>
    <mergeCell ref="AK5:AK7"/>
    <mergeCell ref="Z5:Z7"/>
    <mergeCell ref="AA5:AA7"/>
    <mergeCell ref="AB5:AB7"/>
    <mergeCell ref="AC5:AC7"/>
    <mergeCell ref="AD5:AD7"/>
    <mergeCell ref="AE5:AE7"/>
    <mergeCell ref="AF5:AF7"/>
    <mergeCell ref="AG5:AG7"/>
    <mergeCell ref="AH5:AH7"/>
    <mergeCell ref="AI5:AI7"/>
    <mergeCell ref="AJ5:AJ7"/>
    <mergeCell ref="Y5:Y7"/>
    <mergeCell ref="N5:N7"/>
    <mergeCell ref="O5:O7"/>
    <mergeCell ref="P5:P7"/>
    <mergeCell ref="Q5:Q7"/>
    <mergeCell ref="R5:R7"/>
    <mergeCell ref="S5:S7"/>
    <mergeCell ref="T5:T7"/>
    <mergeCell ref="U5:U7"/>
    <mergeCell ref="V5:V7"/>
    <mergeCell ref="W5:W7"/>
    <mergeCell ref="X5:X7"/>
    <mergeCell ref="M5:M7"/>
    <mergeCell ref="A5:A7"/>
    <mergeCell ref="C5:C6"/>
    <mergeCell ref="D5:D7"/>
    <mergeCell ref="E5:E7"/>
    <mergeCell ref="F5:F7"/>
    <mergeCell ref="G5:G7"/>
    <mergeCell ref="H5:H7"/>
    <mergeCell ref="I5:I7"/>
    <mergeCell ref="J5:J7"/>
    <mergeCell ref="K5:K7"/>
    <mergeCell ref="L5:L7"/>
  </mergeCells>
  <conditionalFormatting sqref="E15:E18 E9:E12">
    <cfRule type="cellIs" dxfId="261" priority="93" stopIfTrue="1" operator="notBetween">
      <formula>$E$26</formula>
      <formula>$E$27</formula>
    </cfRule>
  </conditionalFormatting>
  <conditionalFormatting sqref="F9:F12 F15:F18">
    <cfRule type="expression" dxfId="260" priority="136" stopIfTrue="1">
      <formula>IF(F9&lt;&gt;G9,TRUE,FALSE)</formula>
    </cfRule>
    <cfRule type="cellIs" dxfId="259" priority="138" stopIfTrue="1" operator="notBetween">
      <formula>$F$26</formula>
      <formula>$F$27</formula>
    </cfRule>
  </conditionalFormatting>
  <conditionalFormatting sqref="G9">
    <cfRule type="expression" dxfId="258" priority="140" stopIfTrue="1">
      <formula>IF(G9&lt;&gt;I9,TRUE,FALSE)</formula>
    </cfRule>
  </conditionalFormatting>
  <conditionalFormatting sqref="G10 G15:G18">
    <cfRule type="cellIs" dxfId="257" priority="137" stopIfTrue="1" operator="notBetween">
      <formula>$G$26</formula>
      <formula>$G$27</formula>
    </cfRule>
  </conditionalFormatting>
  <conditionalFormatting sqref="H15:H18 H9:H12">
    <cfRule type="cellIs" dxfId="256" priority="130" stopIfTrue="1" operator="notBetween">
      <formula>$H$26</formula>
      <formula>$H$27</formula>
    </cfRule>
  </conditionalFormatting>
  <conditionalFormatting sqref="I15:I18 I9:I12">
    <cfRule type="cellIs" dxfId="255" priority="139" stopIfTrue="1" operator="notBetween">
      <formula>$I$26</formula>
      <formula>$I$27</formula>
    </cfRule>
  </conditionalFormatting>
  <conditionalFormatting sqref="I11:I12">
    <cfRule type="cellIs" dxfId="254" priority="144" stopIfTrue="1" operator="greaterThan">
      <formula>#REF!</formula>
    </cfRule>
    <cfRule type="cellIs" dxfId="253" priority="145" stopIfTrue="1" operator="lessThan">
      <formula>#REF!</formula>
    </cfRule>
  </conditionalFormatting>
  <conditionalFormatting sqref="J15:J18 J9:J12">
    <cfRule type="cellIs" dxfId="252" priority="141" stopIfTrue="1" operator="notBetween">
      <formula>$J$26</formula>
      <formula>$J$27</formula>
    </cfRule>
  </conditionalFormatting>
  <conditionalFormatting sqref="K15:K18 K9:K12">
    <cfRule type="cellIs" dxfId="251" priority="133" stopIfTrue="1" operator="notBetween">
      <formula>$K$26</formula>
      <formula>$K$27</formula>
    </cfRule>
  </conditionalFormatting>
  <conditionalFormatting sqref="M15:M18 M9:M12">
    <cfRule type="cellIs" dxfId="250" priority="132" stopIfTrue="1" operator="notBetween">
      <formula>$M$26</formula>
      <formula>$M$27</formula>
    </cfRule>
  </conditionalFormatting>
  <conditionalFormatting sqref="O15:O18 O9:O12">
    <cfRule type="cellIs" dxfId="249" priority="96" stopIfTrue="1" operator="notBetween">
      <formula>$O$26</formula>
      <formula>$O$27</formula>
    </cfRule>
  </conditionalFormatting>
  <conditionalFormatting sqref="P15:P18 P9:P12">
    <cfRule type="cellIs" dxfId="248" priority="131" stopIfTrue="1" operator="notBetween">
      <formula>$P$26</formula>
      <formula>$P$27</formula>
    </cfRule>
  </conditionalFormatting>
  <conditionalFormatting sqref="R15:R18 R9:R12">
    <cfRule type="cellIs" dxfId="247" priority="129" stopIfTrue="1" operator="notBetween">
      <formula>$R$26</formula>
      <formula>$R$27</formula>
    </cfRule>
  </conditionalFormatting>
  <conditionalFormatting sqref="S15:S18 S9:S12">
    <cfRule type="cellIs" dxfId="246" priority="128" stopIfTrue="1" operator="notBetween">
      <formula>$S$26</formula>
      <formula>$S$27</formula>
    </cfRule>
  </conditionalFormatting>
  <conditionalFormatting sqref="T15:T18 T9:T12">
    <cfRule type="cellIs" dxfId="245" priority="127" stopIfTrue="1" operator="notBetween">
      <formula>$T$26</formula>
      <formula>$T$27</formula>
    </cfRule>
  </conditionalFormatting>
  <conditionalFormatting sqref="U9">
    <cfRule type="cellIs" dxfId="244" priority="91" stopIfTrue="1" operator="greaterThan">
      <formula>$BW$9</formula>
    </cfRule>
    <cfRule type="cellIs" dxfId="243" priority="92" stopIfTrue="1" operator="lessThan">
      <formula>$BW$9</formula>
    </cfRule>
  </conditionalFormatting>
  <conditionalFormatting sqref="U10">
    <cfRule type="cellIs" dxfId="242" priority="87" stopIfTrue="1" operator="greaterThan">
      <formula>$BW$10</formula>
    </cfRule>
    <cfRule type="cellIs" dxfId="241" priority="88" stopIfTrue="1" operator="lessThan">
      <formula>$BW$10</formula>
    </cfRule>
  </conditionalFormatting>
  <conditionalFormatting sqref="U11">
    <cfRule type="cellIs" dxfId="240" priority="83" stopIfTrue="1" operator="greaterThan">
      <formula>$BW$11</formula>
    </cfRule>
    <cfRule type="cellIs" dxfId="239" priority="84" stopIfTrue="1" operator="lessThan">
      <formula>$BW$11</formula>
    </cfRule>
  </conditionalFormatting>
  <conditionalFormatting sqref="U12">
    <cfRule type="cellIs" dxfId="238" priority="81" stopIfTrue="1" operator="greaterThan">
      <formula>$BW$12</formula>
    </cfRule>
    <cfRule type="cellIs" dxfId="237" priority="82" stopIfTrue="1" operator="lessThan">
      <formula>$BW$12</formula>
    </cfRule>
  </conditionalFormatting>
  <conditionalFormatting sqref="U15:U16">
    <cfRule type="cellIs" dxfId="236" priority="67" stopIfTrue="1" operator="greaterThan">
      <formula>$BW$15</formula>
    </cfRule>
    <cfRule type="cellIs" dxfId="235" priority="68" stopIfTrue="1" operator="lessThan">
      <formula>$BW$15</formula>
    </cfRule>
  </conditionalFormatting>
  <conditionalFormatting sqref="U17">
    <cfRule type="cellIs" dxfId="234" priority="65" stopIfTrue="1" operator="greaterThan">
      <formula>$BW$17</formula>
    </cfRule>
    <cfRule type="cellIs" dxfId="233" priority="66" stopIfTrue="1" operator="lessThan">
      <formula>$BW$17</formula>
    </cfRule>
  </conditionalFormatting>
  <conditionalFormatting sqref="U18">
    <cfRule type="cellIs" dxfId="232" priority="63" stopIfTrue="1" operator="greaterThan">
      <formula>$BW$18</formula>
    </cfRule>
    <cfRule type="cellIs" dxfId="231" priority="64" stopIfTrue="1" operator="lessThan">
      <formula>$BW$18</formula>
    </cfRule>
  </conditionalFormatting>
  <conditionalFormatting sqref="W9:W12">
    <cfRule type="cellIs" dxfId="230" priority="125" stopIfTrue="1" operator="notBetween">
      <formula>$W$26</formula>
      <formula>$W$27</formula>
    </cfRule>
  </conditionalFormatting>
  <conditionalFormatting sqref="W15:W18">
    <cfRule type="cellIs" dxfId="229" priority="126" stopIfTrue="1" operator="notBetween">
      <formula>$W$26</formula>
      <formula>$W$27</formula>
    </cfRule>
  </conditionalFormatting>
  <conditionalFormatting sqref="X15:X18 X9:X12">
    <cfRule type="cellIs" dxfId="228" priority="124" stopIfTrue="1" operator="notBetween">
      <formula>$X$26</formula>
      <formula>$X$27</formula>
    </cfRule>
  </conditionalFormatting>
  <conditionalFormatting sqref="Y15:Y18 Y9:Y12">
    <cfRule type="cellIs" dxfId="227" priority="123" stopIfTrue="1" operator="notBetween">
      <formula>$Y$26</formula>
      <formula>$Y$27</formula>
    </cfRule>
  </conditionalFormatting>
  <conditionalFormatting sqref="Z15:Z18 Z9:Z12">
    <cfRule type="cellIs" dxfId="226" priority="95" stopIfTrue="1" operator="notBetween">
      <formula>$Z$26</formula>
      <formula>$Z$27</formula>
    </cfRule>
  </conditionalFormatting>
  <conditionalFormatting sqref="AA15:AA18 AA9:AA12">
    <cfRule type="cellIs" dxfId="225" priority="122" stopIfTrue="1" operator="notBetween">
      <formula>$AA$26</formula>
      <formula>$AA$27</formula>
    </cfRule>
  </conditionalFormatting>
  <conditionalFormatting sqref="AB9:AB12">
    <cfRule type="cellIs" dxfId="224" priority="120" stopIfTrue="1" operator="notBetween">
      <formula>$AB$26</formula>
      <formula>$AB$27</formula>
    </cfRule>
  </conditionalFormatting>
  <conditionalFormatting sqref="AB15:AB18">
    <cfRule type="cellIs" dxfId="223" priority="121" stopIfTrue="1" operator="notBetween">
      <formula>$AB$26</formula>
      <formula>$AB$27</formula>
    </cfRule>
  </conditionalFormatting>
  <conditionalFormatting sqref="AC15:AC18 AC9:AC12">
    <cfRule type="cellIs" dxfId="222" priority="119" stopIfTrue="1" operator="notBetween">
      <formula>$AC$26</formula>
      <formula>$AC$27</formula>
    </cfRule>
  </conditionalFormatting>
  <conditionalFormatting sqref="AD15:AD18 AD9:AD12">
    <cfRule type="cellIs" dxfId="221" priority="118" stopIfTrue="1" operator="notBetween">
      <formula>$AD$26</formula>
      <formula>$AD$27</formula>
    </cfRule>
  </conditionalFormatting>
  <conditionalFormatting sqref="AE15:AE18 AE9:AE12">
    <cfRule type="cellIs" dxfId="220" priority="117" stopIfTrue="1" operator="notBetween">
      <formula>$AE$26</formula>
      <formula>$AE$27</formula>
    </cfRule>
  </conditionalFormatting>
  <conditionalFormatting sqref="AF15:AF18 AF9:AF12">
    <cfRule type="cellIs" dxfId="219" priority="116" stopIfTrue="1" operator="notBetween">
      <formula>$AF$26</formula>
      <formula>$AF$27</formula>
    </cfRule>
  </conditionalFormatting>
  <conditionalFormatting sqref="AG15:AG18 AG9:AG12">
    <cfRule type="cellIs" dxfId="218" priority="115" stopIfTrue="1" operator="notBetween">
      <formula>$AG$26</formula>
      <formula>$AG$27</formula>
    </cfRule>
  </conditionalFormatting>
  <conditionalFormatting sqref="AH15:AH18 AH9:AH12">
    <cfRule type="cellIs" dxfId="217" priority="114" stopIfTrue="1" operator="notBetween">
      <formula>$AH$26</formula>
      <formula>$AH$27</formula>
    </cfRule>
  </conditionalFormatting>
  <conditionalFormatting sqref="AI15:AI18 AI9:AI12">
    <cfRule type="cellIs" dxfId="216" priority="113" stopIfTrue="1" operator="notBetween">
      <formula>$AI$26</formula>
      <formula>$AI$27</formula>
    </cfRule>
  </conditionalFormatting>
  <conditionalFormatting sqref="AJ15:AJ18 AJ9:AJ12">
    <cfRule type="cellIs" dxfId="215" priority="112" stopIfTrue="1" operator="notBetween">
      <formula>$AJ$26</formula>
      <formula>$AJ$27</formula>
    </cfRule>
  </conditionalFormatting>
  <conditionalFormatting sqref="AK9:AK12">
    <cfRule type="cellIs" dxfId="214" priority="110" stopIfTrue="1" operator="notBetween">
      <formula>$AK$26</formula>
      <formula>$AK$27</formula>
    </cfRule>
  </conditionalFormatting>
  <conditionalFormatting sqref="AK15:AK18">
    <cfRule type="cellIs" dxfId="213" priority="111" stopIfTrue="1" operator="notBetween">
      <formula>$AK$26</formula>
      <formula>$AK$27</formula>
    </cfRule>
  </conditionalFormatting>
  <conditionalFormatting sqref="AL15:AL18 AL9:AL12">
    <cfRule type="cellIs" dxfId="212" priority="109" stopIfTrue="1" operator="notBetween">
      <formula>$AL$26</formula>
      <formula>$AL$27</formula>
    </cfRule>
  </conditionalFormatting>
  <conditionalFormatting sqref="AM15:AM18 AM9:AM12">
    <cfRule type="cellIs" dxfId="211" priority="108" stopIfTrue="1" operator="notBetween">
      <formula>$AM$26</formula>
      <formula>$AM$27</formula>
    </cfRule>
  </conditionalFormatting>
  <conditionalFormatting sqref="AN15:AN18 AN9:AN12">
    <cfRule type="cellIs" dxfId="210" priority="107" stopIfTrue="1" operator="notBetween">
      <formula>$AN$26</formula>
      <formula>$AN$27</formula>
    </cfRule>
  </conditionalFormatting>
  <conditionalFormatting sqref="AO15:AO18 AO9:AO12">
    <cfRule type="cellIs" dxfId="209" priority="94" stopIfTrue="1" operator="notBetween">
      <formula>$AO$26</formula>
      <formula>$AO$27</formula>
    </cfRule>
  </conditionalFormatting>
  <conditionalFormatting sqref="AP15:AP18 AP9:AP12">
    <cfRule type="cellIs" dxfId="208" priority="106" stopIfTrue="1" operator="notBetween">
      <formula>$AP$26</formula>
      <formula>$AP$27</formula>
    </cfRule>
  </conditionalFormatting>
  <conditionalFormatting sqref="AQ15:AQ18 AQ9:AQ12">
    <cfRule type="cellIs" dxfId="207" priority="105" stopIfTrue="1" operator="notBetween">
      <formula>$AQ$26</formula>
      <formula>$AQ$27</formula>
    </cfRule>
  </conditionalFormatting>
  <conditionalFormatting sqref="AR15:AR18 AR9:AR12">
    <cfRule type="cellIs" dxfId="206" priority="104" stopIfTrue="1" operator="notBetween">
      <formula>$AR$26</formula>
      <formula>$AR$27</formula>
    </cfRule>
  </conditionalFormatting>
  <conditionalFormatting sqref="AS9:AS12">
    <cfRule type="cellIs" dxfId="205" priority="102" stopIfTrue="1" operator="notBetween">
      <formula>$AS$26</formula>
      <formula>$AS$27</formula>
    </cfRule>
  </conditionalFormatting>
  <conditionalFormatting sqref="AS15:AS18">
    <cfRule type="cellIs" dxfId="204" priority="103" stopIfTrue="1" operator="notBetween">
      <formula>$AS$26</formula>
      <formula>$AS$27</formula>
    </cfRule>
  </conditionalFormatting>
  <conditionalFormatting sqref="AT15:AT18 AT9:AT12">
    <cfRule type="cellIs" dxfId="203" priority="101" stopIfTrue="1" operator="notBetween">
      <formula>$AT$26</formula>
      <formula>$AT$27</formula>
    </cfRule>
  </conditionalFormatting>
  <conditionalFormatting sqref="AU15:AU18 AU9:AU12">
    <cfRule type="cellIs" dxfId="202" priority="100" stopIfTrue="1" operator="notBetween">
      <formula>$AU$26</formula>
      <formula>$AU$27</formula>
    </cfRule>
  </conditionalFormatting>
  <conditionalFormatting sqref="AV15:AV18 AV9:AV12">
    <cfRule type="cellIs" dxfId="201" priority="99" stopIfTrue="1" operator="notBetween">
      <formula>$AV$26</formula>
      <formula>$AV$27</formula>
    </cfRule>
  </conditionalFormatting>
  <conditionalFormatting sqref="AW15:AW18 AW9:AW12">
    <cfRule type="cellIs" dxfId="200" priority="9" stopIfTrue="1" operator="notBetween">
      <formula>$AW$26</formula>
      <formula>$AW$27</formula>
    </cfRule>
  </conditionalFormatting>
  <conditionalFormatting sqref="AX15:AX18 AX9:AX12">
    <cfRule type="cellIs" dxfId="199" priority="98" stopIfTrue="1" operator="notBetween">
      <formula>$AX$26</formula>
      <formula>$AX$27</formula>
    </cfRule>
  </conditionalFormatting>
  <conditionalFormatting sqref="AY15:AY18 AY9:AY12">
    <cfRule type="cellIs" dxfId="198" priority="8" stopIfTrue="1" operator="notBetween">
      <formula>$AY$26</formula>
      <formula>$AY$27</formula>
    </cfRule>
  </conditionalFormatting>
  <conditionalFormatting sqref="AZ15:AZ18 AZ9:AZ12">
    <cfRule type="cellIs" dxfId="197" priority="97" stopIfTrue="1" operator="notBetween">
      <formula>$AZ$26</formula>
      <formula>$AZ$27</formula>
    </cfRule>
  </conditionalFormatting>
  <conditionalFormatting sqref="BA15:BA18 BA9:BA12">
    <cfRule type="cellIs" dxfId="196" priority="1" stopIfTrue="1" operator="notBetween">
      <formula>$BA$26</formula>
      <formula>$BA$27</formula>
    </cfRule>
  </conditionalFormatting>
  <conditionalFormatting sqref="BB14:BB18 BB9:BB12">
    <cfRule type="expression" dxfId="195" priority="6018" stopIfTrue="1">
      <formula>NOT(AND($BB9-ultimoDiaTrim&gt;=$BB$27,$BB9-ultimoDiaTrim&lt;=$BB$26))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3" customWidth="1"/>
    <col min="4" max="4" width="15" style="1133" customWidth="1"/>
    <col min="5" max="5" width="11.42578125" style="1142"/>
  </cols>
  <sheetData>
    <row r="1" spans="2:5" ht="83.25" customHeight="1"/>
    <row r="2" spans="2:5">
      <c r="B2" s="1134" t="s">
        <v>774</v>
      </c>
    </row>
    <row r="3" spans="2:5" ht="16.5" customHeight="1" thickBot="1">
      <c r="B3" s="1135" t="s">
        <v>775</v>
      </c>
      <c r="C3" s="1135" t="s">
        <v>776</v>
      </c>
      <c r="D3" s="1135" t="s">
        <v>777</v>
      </c>
      <c r="E3" s="1143" t="s">
        <v>782</v>
      </c>
    </row>
  </sheetData>
  <sheetProtection algorithmName="SHA-512" hashValue="SFGcnBSAWHCHDJRkSymx6stKhuiJsPgy3GB5EWBDZN9Iy8UQwr15EFEpkeWJi7zdmUuk8m9C8tZvEwDKmzi0Qg==" saltValue="4b+7KgodJ93aood7s3ZoL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8"/>
  <sheetViews>
    <sheetView zoomScale="85" zoomScaleNormal="85" workbookViewId="0">
      <selection activeCell="A25" sqref="A25"/>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1" hidden="1" customWidth="1"/>
    <col min="70" max="16384" width="11.42578125" style="371"/>
  </cols>
  <sheetData>
    <row r="1" spans="1:69" ht="108" customHeight="1"/>
    <row r="2" spans="1:69">
      <c r="A2" s="374"/>
      <c r="B2" s="388" t="str">
        <f>Criterios!A9 &amp;"  "&amp;Criterios!B9</f>
        <v>Tribunales de Justicia  ANDALUCIA</v>
      </c>
      <c r="C2" s="374"/>
      <c r="D2" s="374"/>
      <c r="E2" s="374"/>
      <c r="F2" s="374"/>
    </row>
    <row r="3" spans="1:69" ht="19.5">
      <c r="A3" s="389" t="s">
        <v>115</v>
      </c>
      <c r="B3" s="390" t="str">
        <f>Criterios!A10 &amp;"  "&amp;Criterios!B10</f>
        <v>Provincias  CADIZ</v>
      </c>
      <c r="D3" s="374"/>
      <c r="E3" s="374"/>
      <c r="F3" s="374"/>
      <c r="BQ3" s="470"/>
    </row>
    <row r="4" spans="1:69" ht="13.5" thickBot="1">
      <c r="A4" s="374"/>
      <c r="B4" s="390" t="str">
        <f>Criterios!A11 &amp;"  "&amp;Criterios!B11</f>
        <v>Resumenes por Partidos Judiciales  SAN ROQUE</v>
      </c>
      <c r="C4" s="374"/>
      <c r="D4" s="374"/>
      <c r="E4" s="374"/>
      <c r="F4" s="374"/>
      <c r="BQ4" s="470"/>
    </row>
    <row r="5" spans="1:69" ht="15.75" customHeight="1">
      <c r="A5" s="1477" t="str">
        <f>"Año:  " &amp;Criterios!B5 &amp; "     Trimestre   " &amp;Criterios!D5 &amp; " al " &amp;Criterios!D6</f>
        <v>Año:  2026     Trimestre   1 al 1</v>
      </c>
      <c r="B5" s="788" t="s">
        <v>116</v>
      </c>
      <c r="C5" s="1479" t="s">
        <v>130</v>
      </c>
      <c r="D5" s="1480"/>
      <c r="E5" s="1479" t="s">
        <v>92</v>
      </c>
      <c r="F5" s="1480"/>
      <c r="G5" s="1479" t="s">
        <v>9</v>
      </c>
      <c r="H5" s="1480"/>
      <c r="I5" s="1479" t="s">
        <v>131</v>
      </c>
      <c r="J5" s="1480"/>
      <c r="K5" s="1486" t="s">
        <v>735</v>
      </c>
      <c r="L5" s="1470" t="s">
        <v>758</v>
      </c>
      <c r="M5" s="1470" t="s">
        <v>812</v>
      </c>
      <c r="N5" s="1473" t="s">
        <v>734</v>
      </c>
      <c r="BQ5" s="470"/>
    </row>
    <row r="6" spans="1:69" ht="21.75" customHeight="1" thickBot="1">
      <c r="A6" s="1478"/>
      <c r="B6" s="789"/>
      <c r="C6" s="1481"/>
      <c r="D6" s="1482"/>
      <c r="E6" s="1481"/>
      <c r="F6" s="1482"/>
      <c r="G6" s="1481"/>
      <c r="H6" s="1482"/>
      <c r="I6" s="1481"/>
      <c r="J6" s="1482"/>
      <c r="K6" s="1487"/>
      <c r="L6" s="1471"/>
      <c r="M6" s="1471"/>
      <c r="N6" s="1474"/>
      <c r="BQ6" s="470"/>
    </row>
    <row r="7" spans="1:69" ht="38.25" customHeight="1" thickTop="1" thickBot="1">
      <c r="A7" s="391" t="s">
        <v>729</v>
      </c>
      <c r="B7" s="392" t="s">
        <v>117</v>
      </c>
      <c r="C7" s="393" t="s">
        <v>5</v>
      </c>
      <c r="D7" s="394" t="s">
        <v>6</v>
      </c>
      <c r="E7" s="393" t="s">
        <v>5</v>
      </c>
      <c r="F7" s="394" t="s">
        <v>6</v>
      </c>
      <c r="G7" s="393" t="s">
        <v>5</v>
      </c>
      <c r="H7" s="394" t="s">
        <v>6</v>
      </c>
      <c r="I7" s="393" t="s">
        <v>5</v>
      </c>
      <c r="J7" s="394" t="s">
        <v>6</v>
      </c>
      <c r="K7" s="1488"/>
      <c r="L7" s="1472"/>
      <c r="M7" s="1472"/>
      <c r="N7" s="1475"/>
      <c r="BQ7" s="470"/>
    </row>
    <row r="8" spans="1:69">
      <c r="A8" s="395" t="str">
        <f>Datos!A8</f>
        <v>Jurisdicción Civil ( 1 ):</v>
      </c>
      <c r="B8" s="396"/>
      <c r="C8" s="397"/>
      <c r="D8" s="398"/>
      <c r="E8" s="397"/>
      <c r="F8" s="398"/>
      <c r="G8" s="397"/>
      <c r="H8" s="398"/>
      <c r="I8" s="397"/>
      <c r="J8" s="398"/>
      <c r="K8" s="400"/>
      <c r="L8" s="1098"/>
      <c r="M8" s="400"/>
      <c r="N8" s="400"/>
    </row>
    <row r="9" spans="1:69">
      <c r="A9" s="401" t="str">
        <f>Datos!A9</f>
        <v>Sección Civil del T.I</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098" t="e">
        <f>K9*factor_trimestre/Datos!ER9</f>
        <v>#VALUE!</v>
      </c>
      <c r="M9" s="404" t="str">
        <f>IF(ISNUMBER(Datos!EP9),Datos!EP9," - ")</f>
        <v xml:space="preserve"> - </v>
      </c>
      <c r="N9" s="404" t="str">
        <f>IF(ISNUMBER(Datos!EQ9),Datos!EQ9," - ")</f>
        <v xml:space="preserve"> - </v>
      </c>
      <c r="BQ9" s="1181">
        <f>Datos!EZ9</f>
        <v>0</v>
      </c>
    </row>
    <row r="10" spans="1:69" ht="21">
      <c r="A10" s="401" t="str">
        <f>Datos!A10</f>
        <v>Sección De Violencia sobre la Mujer del TI</v>
      </c>
      <c r="B10" s="402">
        <f>Datos!AO10</f>
        <v>1</v>
      </c>
      <c r="C10" s="402">
        <f>IF(ISNUMBER(Datos!I10),Datos!I10," - ")</f>
        <v>0</v>
      </c>
      <c r="D10" s="403">
        <f>IF(ISNUMBER(C10/Datos!BH10),C10/Datos!BH10," - ")</f>
        <v>0</v>
      </c>
      <c r="E10" s="402">
        <f>IF(ISNUMBER(Datos!J10),Datos!J10," - ")</f>
        <v>0</v>
      </c>
      <c r="F10" s="403">
        <f>IF(ISNUMBER(E10/B10),E10/B10," - ")</f>
        <v>0</v>
      </c>
      <c r="G10" s="402">
        <f>IF(ISNUMBER(Datos!K10),Datos!K10," - ")</f>
        <v>0</v>
      </c>
      <c r="H10" s="403">
        <f>IF(ISNUMBER(G10/B10),G10/B10," - ")</f>
        <v>0</v>
      </c>
      <c r="I10" s="402">
        <f>IF(ISNUMBER(Datos!L10),Datos!L10," - ")</f>
        <v>0</v>
      </c>
      <c r="J10" s="403">
        <f>IF(ISNUMBER(I10/B10),I10/B10," - ")</f>
        <v>0</v>
      </c>
      <c r="K10" s="404" t="str">
        <f>IF(ISNUMBER(Datos!EO10),Datos!EO10," - ")</f>
        <v xml:space="preserve"> - </v>
      </c>
      <c r="L10" s="1098" t="e">
        <f>K10*factor_trimestre/Datos!ER10</f>
        <v>#VALUE!</v>
      </c>
      <c r="M10" s="404" t="str">
        <f>IF(ISNUMBER(Datos!EP10),Datos!EP10," - ")</f>
        <v xml:space="preserve"> - </v>
      </c>
      <c r="N10" s="404" t="str">
        <f>IF(ISNUMBER(Datos!EQ10),Datos!EQ10," - ")</f>
        <v xml:space="preserve"> - </v>
      </c>
      <c r="BQ10" s="1181">
        <f>Datos!EZ10</f>
        <v>0</v>
      </c>
    </row>
    <row r="11" spans="1:69" ht="21">
      <c r="A11" s="401" t="str">
        <f>Datos!A11</f>
        <v xml:space="preserve">Sección de Familia, infancia e incapacidad del TI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098" t="e">
        <f>K11*factor_trimestre/Datos!ER11</f>
        <v>#VALUE!</v>
      </c>
      <c r="M11" s="404" t="str">
        <f>IF(ISNUMBER(Datos!EP11),Datos!EP11," - ")</f>
        <v xml:space="preserve"> - </v>
      </c>
      <c r="N11" s="404" t="str">
        <f>IF(ISNUMBER(Datos!EQ11),Datos!EQ11," - ")</f>
        <v xml:space="preserve"> - </v>
      </c>
      <c r="BQ11" s="1181">
        <f>Datos!EZ11</f>
        <v>0</v>
      </c>
    </row>
    <row r="12" spans="1:69" ht="13.5" thickBot="1">
      <c r="A12" s="401" t="str">
        <f>Datos!A12</f>
        <v xml:space="preserve">Sección Civil y de Inst. TI                      </v>
      </c>
      <c r="B12" s="402">
        <f>Datos!AO12</f>
        <v>3</v>
      </c>
      <c r="C12" s="402">
        <f>IF(ISNUMBER(IF(J_V="SI",Datos!I12,Datos!I12+Datos!Y12)),IF(J_V="SI",Datos!I12,Datos!I12+Datos!Y12)," - ")</f>
        <v>1487</v>
      </c>
      <c r="D12" s="403">
        <f>IF(ISNUMBER(C12/Datos!BH12),C12/Datos!BH12," - ")</f>
        <v>495.66666666666669</v>
      </c>
      <c r="E12" s="402">
        <f>IF(ISNUMBER(IF(J_V="SI",Datos!J12,Datos!J12+Datos!Z12)),IF(J_V="SI",Datos!J12,Datos!J12+Datos!Z12)," - ")</f>
        <v>615</v>
      </c>
      <c r="F12" s="403">
        <f>IF(ISNUMBER(E12/B12),E12/B12," - ")</f>
        <v>205</v>
      </c>
      <c r="G12" s="402">
        <f>IF(ISNUMBER(IF(J_V="SI",Datos!K12,Datos!K12+Datos!AA12)),IF(J_V="SI",Datos!K12,Datos!K12+Datos!AA12)," - ")</f>
        <v>633</v>
      </c>
      <c r="H12" s="403">
        <f>IF(ISNUMBER(G12/B12),G12/B12," - ")</f>
        <v>211</v>
      </c>
      <c r="I12" s="402">
        <f>IF(ISNUMBER(IF(J_V="SI",Datos!L12,Datos!L12+Datos!AB12)),IF(J_V="SI",Datos!L12,Datos!L12+Datos!AB12)," - ")</f>
        <v>1663</v>
      </c>
      <c r="J12" s="403">
        <f>IF(ISNUMBER(I12/B12),I12/B12," - ")</f>
        <v>554.33333333333337</v>
      </c>
      <c r="K12" s="404" t="str">
        <f>IF(ISNUMBER(Datos!EO12),Datos!EO12," - ")</f>
        <v xml:space="preserve"> - </v>
      </c>
      <c r="L12" s="1098" t="e">
        <f>K12*factor_trimestre/Datos!ER12</f>
        <v>#VALUE!</v>
      </c>
      <c r="M12" s="404" t="str">
        <f>IF(ISNUMBER(Datos!EP12),Datos!EP12," - ")</f>
        <v xml:space="preserve"> - </v>
      </c>
      <c r="N12" s="404" t="str">
        <f>IF(ISNUMBER(Datos!EQ12),Datos!EQ12," - ")</f>
        <v xml:space="preserve"> - </v>
      </c>
      <c r="BQ12" s="1181">
        <f>Datos!EZ12</f>
        <v>0</v>
      </c>
    </row>
    <row r="13" spans="1:69" ht="14.25" thickTop="1" thickBot="1">
      <c r="A13" s="845" t="str">
        <f>Datos!A13</f>
        <v>TOTAL</v>
      </c>
      <c r="B13" s="846">
        <f>Datos!AP13</f>
        <v>3</v>
      </c>
      <c r="C13" s="846">
        <f>SUBTOTAL(9,C8:C12)</f>
        <v>1487</v>
      </c>
      <c r="D13" s="847" t="str">
        <f>IF(ISNUMBER(C13/Datos!BI13),C13/Datos!BI13," - ")</f>
        <v xml:space="preserve"> - </v>
      </c>
      <c r="E13" s="846">
        <f>SUBTOTAL(9,E8:E12)</f>
        <v>615</v>
      </c>
      <c r="F13" s="847">
        <f>IF(ISNUMBER(E13/B13),E13/B13," - ")</f>
        <v>205</v>
      </c>
      <c r="G13" s="846">
        <f>SUBTOTAL(9,G8:G12)</f>
        <v>633</v>
      </c>
      <c r="H13" s="847">
        <f>IF(ISNUMBER(G13/B13),G13/B13," - ")</f>
        <v>211</v>
      </c>
      <c r="I13" s="846">
        <f>SUBTOTAL(9,I8:I12)</f>
        <v>1663</v>
      </c>
      <c r="J13" s="847">
        <f>IF(ISNUMBER(I13/B13),I13/B13," - ")</f>
        <v>554.33333333333337</v>
      </c>
      <c r="K13" s="845">
        <f t="shared" ref="K13" si="0">SUBTOTAL(9,K8:K12)</f>
        <v>0</v>
      </c>
      <c r="L13" s="1097"/>
      <c r="M13" s="845">
        <f>SUBTOTAL(9,M8:M12)</f>
        <v>0</v>
      </c>
      <c r="N13" s="845">
        <f>SUBTOTAL(9,N8:N12)</f>
        <v>0</v>
      </c>
      <c r="BQ13" s="1181"/>
    </row>
    <row r="14" spans="1:69" ht="13.5" thickTop="1">
      <c r="A14" s="395" t="str">
        <f>Datos!A14</f>
        <v xml:space="preserve">Jurisdicción Penal ( 2 ):                      </v>
      </c>
      <c r="B14" s="405"/>
      <c r="C14" s="405"/>
      <c r="D14" s="406"/>
      <c r="E14" s="405"/>
      <c r="F14" s="406"/>
      <c r="G14" s="405"/>
      <c r="H14" s="406"/>
      <c r="I14" s="405"/>
      <c r="J14" s="406"/>
      <c r="K14" s="405"/>
      <c r="L14" s="1098"/>
      <c r="M14" s="407"/>
      <c r="N14" s="408"/>
      <c r="BQ14" s="1181">
        <f>Datos!EZ14</f>
        <v>0</v>
      </c>
    </row>
    <row r="15" spans="1:69">
      <c r="A15" s="401" t="str">
        <f>Datos!A15</f>
        <v xml:space="preserve">Seccion Instruccion Del T.I.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5" t="str">
        <f>IF(ISNUMBER(Datos!EO15),Datos!EO15," - ")</f>
        <v xml:space="preserve"> - </v>
      </c>
      <c r="L15" s="1098" t="e">
        <f>K15*factor_trimestre/Datos!ER15</f>
        <v>#VALUE!</v>
      </c>
      <c r="M15" s="1096" t="str">
        <f>IF(ISNUMBER(Datos!EP15),Datos!EP15," - ")</f>
        <v xml:space="preserve"> - </v>
      </c>
      <c r="N15" s="404" t="str">
        <f>IF(ISNUMBER(Datos!EQ15),Datos!EQ15," - ")</f>
        <v xml:space="preserve"> - </v>
      </c>
      <c r="BQ15" s="1181">
        <f>Datos!EZ15</f>
        <v>0</v>
      </c>
    </row>
    <row r="16" spans="1:69" s="1455" customFormat="1">
      <c r="A16" s="401" t="str">
        <f>Datos!A16</f>
        <v>Seccion Violencia contra la inf y adol.</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5" t="str">
        <f>IF(ISNUMBER(Datos!EO16),Datos!EO16," - ")</f>
        <v xml:space="preserve"> - </v>
      </c>
      <c r="L16" s="1098" t="e">
        <f>K16*factor_trimestre/Datos!ER16</f>
        <v>#VALUE!</v>
      </c>
      <c r="M16" s="1096" t="str">
        <f>IF(ISNUMBER(Datos!EP16),Datos!EP16," - ")</f>
        <v xml:space="preserve"> - </v>
      </c>
      <c r="N16" s="404" t="str">
        <f>IF(ISNUMBER(Datos!EQ16),Datos!EQ16," - ")</f>
        <v xml:space="preserve"> - </v>
      </c>
      <c r="BQ16" s="1421">
        <f>Datos!EZ16</f>
        <v>0</v>
      </c>
    </row>
    <row r="17" spans="1:69">
      <c r="A17" s="401" t="str">
        <f>Datos!A17</f>
        <v xml:space="preserve">Sección Civil y de Inst. TI                      </v>
      </c>
      <c r="B17" s="402">
        <f>Datos!AO17</f>
        <v>3</v>
      </c>
      <c r="C17" s="402">
        <f>IF(ISNUMBER(IF(D_I="SI",Datos!I17,Datos!I17+Datos!AC17)),IF(D_I="SI",Datos!I17,Datos!I17+Datos!AC17)," - ")</f>
        <v>1383</v>
      </c>
      <c r="D17" s="403">
        <f>IF(ISNUMBER(C17/Datos!BH17),C17/Datos!BH17," - ")</f>
        <v>461</v>
      </c>
      <c r="E17" s="402">
        <f>IF(ISNUMBER(IF(D_I="SI",Datos!J17,Datos!J17+Datos!AD17)),IF(D_I="SI",Datos!J17,Datos!J17+Datos!AD17)," - ")</f>
        <v>303</v>
      </c>
      <c r="F17" s="403">
        <f>IF(ISNUMBER(E17/B17),E17/B17," - ")</f>
        <v>101</v>
      </c>
      <c r="G17" s="402">
        <f>IF(ISNUMBER(IF(D_I="SI",Datos!K17,Datos!K17+Datos!AE17)),IF(D_I="SI",Datos!K17,Datos!K17+Datos!AE17)," - ")</f>
        <v>433</v>
      </c>
      <c r="H17" s="403">
        <f>IF(ISNUMBER(G17/B17),G17/B17," - ")</f>
        <v>144.33333333333334</v>
      </c>
      <c r="I17" s="402">
        <f>IF(ISNUMBER(IF(D_I="SI",Datos!L17,Datos!L17+Datos!AF17)),IF(D_I="SI",Datos!L17,Datos!L17+Datos!AF17)," - ")</f>
        <v>1411</v>
      </c>
      <c r="J17" s="403">
        <f>IF(ISNUMBER(I17/B17),I17/B17," - ")</f>
        <v>470.33333333333331</v>
      </c>
      <c r="K17" s="1095" t="str">
        <f>IF(ISNUMBER(Datos!EO17),Datos!EO17," - ")</f>
        <v xml:space="preserve"> - </v>
      </c>
      <c r="L17" s="1098" t="e">
        <f>K17*factor_trimestre/Datos!ER17</f>
        <v>#VALUE!</v>
      </c>
      <c r="M17" s="1096" t="str">
        <f>IF(ISNUMBER(Datos!EP17),Datos!EP17," - ")</f>
        <v xml:space="preserve"> - </v>
      </c>
      <c r="N17" s="404" t="str">
        <f>IF(ISNUMBER(Datos!EQ17),Datos!EQ17," - ")</f>
        <v xml:space="preserve"> - </v>
      </c>
      <c r="BQ17" s="1181">
        <f>Datos!EZ17</f>
        <v>0</v>
      </c>
    </row>
    <row r="18" spans="1:69" ht="21.75" thickBot="1">
      <c r="A18" s="401" t="str">
        <f>Datos!A18</f>
        <v>Sección De Violencia sobre la Mujer del TI</v>
      </c>
      <c r="B18" s="402">
        <f>Datos!AO18</f>
        <v>1</v>
      </c>
      <c r="C18" s="402">
        <f>IF(ISNUMBER(IF(D_I="SI",Datos!I18,Datos!I18+Datos!AC18)),IF(D_I="SI",Datos!I18,Datos!I18+Datos!AC18)," - ")</f>
        <v>13</v>
      </c>
      <c r="D18" s="403">
        <f>IF(ISNUMBER(C18/Datos!BH18),C18/Datos!BH18," - ")</f>
        <v>13</v>
      </c>
      <c r="E18" s="402">
        <f>IF(ISNUMBER(IF(D_I="SI",Datos!J18,Datos!J18+Datos!AD18)),IF(D_I="SI",Datos!J18,Datos!J18+Datos!AD18)," - ")</f>
        <v>0</v>
      </c>
      <c r="F18" s="403">
        <f>IF(ISNUMBER(E18/B18),E18/B18," - ")</f>
        <v>0</v>
      </c>
      <c r="G18" s="402">
        <f>IF(ISNUMBER(IF(D_I="SI",Datos!K18,Datos!K18+Datos!AE18)),IF(D_I="SI",Datos!K18,Datos!K18+Datos!AE18)," - ")</f>
        <v>0</v>
      </c>
      <c r="H18" s="403">
        <f>IF(ISNUMBER(G18/B18),G18/B18," - ")</f>
        <v>0</v>
      </c>
      <c r="I18" s="402">
        <f>IF(ISNUMBER(IF(D_I="SI",Datos!L18,Datos!L18+Datos!AF18)),IF(D_I="SI",Datos!L18,Datos!L18+Datos!AF18)," - ")</f>
        <v>13</v>
      </c>
      <c r="J18" s="403">
        <f>IF(ISNUMBER(I18/B18),I18/B18," - ")</f>
        <v>13</v>
      </c>
      <c r="K18" s="1095" t="str">
        <f>IF(ISNUMBER(Datos!EO18),Datos!EO18," - ")</f>
        <v xml:space="preserve"> - </v>
      </c>
      <c r="L18" s="1098" t="e">
        <f>K18*factor_trimestre/Datos!ER18</f>
        <v>#VALUE!</v>
      </c>
      <c r="M18" s="1096" t="str">
        <f>IF(ISNUMBER(Datos!EP18),Datos!EP18," - ")</f>
        <v xml:space="preserve"> - </v>
      </c>
      <c r="N18" s="404" t="str">
        <f>IF(ISNUMBER(Datos!EQ18),Datos!EQ18," - ")</f>
        <v xml:space="preserve"> - </v>
      </c>
      <c r="BQ18" s="1181">
        <f>Datos!EZ18</f>
        <v>0</v>
      </c>
    </row>
    <row r="19" spans="1:69" ht="14.25" thickTop="1" thickBot="1">
      <c r="A19" s="845" t="str">
        <f>Datos!A19</f>
        <v>TOTAL</v>
      </c>
      <c r="B19" s="846">
        <f>Datos!AP19</f>
        <v>3</v>
      </c>
      <c r="C19" s="846">
        <f>SUBTOTAL(9,C14:C18)</f>
        <v>1396</v>
      </c>
      <c r="D19" s="847" t="str">
        <f>IF(ISNUMBER(C19/Datos!BI19),C19/Datos!BI19," - ")</f>
        <v xml:space="preserve"> - </v>
      </c>
      <c r="E19" s="846">
        <f>SUBTOTAL(9,E14:E18)</f>
        <v>303</v>
      </c>
      <c r="F19" s="847">
        <f>IF(ISNUMBER(E19/B19),E19/B19," - ")</f>
        <v>101</v>
      </c>
      <c r="G19" s="846">
        <f>SUBTOTAL(9,G14:G18)</f>
        <v>433</v>
      </c>
      <c r="H19" s="847">
        <f>IF(ISNUMBER(G19/B19),G19/B19," - ")</f>
        <v>144.33333333333334</v>
      </c>
      <c r="I19" s="846">
        <f>SUBTOTAL(9,I14:I18)</f>
        <v>1424</v>
      </c>
      <c r="J19" s="847">
        <f>IF(ISNUMBER(I19/B19),I19/B19," - ")</f>
        <v>474.66666666666669</v>
      </c>
      <c r="K19" s="845">
        <f t="shared" ref="K19" si="1">SUBTOTAL(9,K14:K18)</f>
        <v>0</v>
      </c>
      <c r="L19" s="845"/>
      <c r="M19" s="845">
        <f>SUBTOTAL(9,M14:M18)</f>
        <v>0</v>
      </c>
      <c r="N19" s="845">
        <f>SUBTOTAL(9,N14:N18)</f>
        <v>0</v>
      </c>
      <c r="BQ19" s="1181"/>
    </row>
    <row r="20" spans="1:69" ht="16.5" customHeight="1" thickTop="1" thickBot="1">
      <c r="A20" s="790" t="str">
        <f>Datos!A20</f>
        <v>TOTAL JURISDICCIONES</v>
      </c>
      <c r="B20" s="791">
        <f>Datos!AP20</f>
        <v>3</v>
      </c>
      <c r="C20" s="791">
        <f>SUBTOTAL(9,C9:C19)</f>
        <v>2883</v>
      </c>
      <c r="D20" s="792" t="str">
        <f>IF(ISNUMBER(C20/Datos!BI20),C20/Datos!BI20," - ")</f>
        <v xml:space="preserve"> - </v>
      </c>
      <c r="E20" s="791">
        <f>SUBTOTAL(9,E9:E19)</f>
        <v>918</v>
      </c>
      <c r="F20" s="792">
        <f>IF(ISNUMBER(E20/B20),E20/B20," - ")</f>
        <v>306</v>
      </c>
      <c r="G20" s="791">
        <f>SUBTOTAL(9,G9:G19)</f>
        <v>1066</v>
      </c>
      <c r="H20" s="792">
        <f>IF(ISNUMBER(G20/B20),G20/B20," - ")</f>
        <v>355.33333333333331</v>
      </c>
      <c r="I20" s="791">
        <f>SUBTOTAL(9,I9:I19)</f>
        <v>3087</v>
      </c>
      <c r="J20" s="792">
        <f>IF(ISNUMBER(I20/B20),I20/B20," - ")</f>
        <v>1029</v>
      </c>
      <c r="K20" s="793">
        <f t="shared" ref="K20" si="2">SUBTOTAL(9,K9:K19)</f>
        <v>0</v>
      </c>
      <c r="L20" s="793"/>
      <c r="M20" s="793">
        <f>SUBTOTAL(9,M9:M19)</f>
        <v>0</v>
      </c>
      <c r="N20" s="793">
        <f>SUBTOTAL(9,N9:N19)</f>
        <v>0</v>
      </c>
    </row>
    <row r="21" spans="1:69">
      <c r="A21" s="410" t="str">
        <f>IF(J_V="NO","(1) Incluida Jurisdicción Voluntaria","(1) Excluída Jurisdicción Voluntaria")</f>
        <v>(1) Incluida Jurisdicción Voluntaria</v>
      </c>
      <c r="B21" s="411"/>
    </row>
    <row r="22" spans="1:69">
      <c r="A22" s="410" t="str">
        <f>IF(D_I="NO","(2) Incluídas Diligencias Indeterminadas","(2) Excluídas Diligencias Indeterminadas")</f>
        <v>(2) Excluídas Diligencias Indeterminadas</v>
      </c>
      <c r="B22" s="410"/>
    </row>
    <row r="23" spans="1:69">
      <c r="A23" s="1476"/>
      <c r="B23" s="1476"/>
    </row>
    <row r="24" spans="1:69">
      <c r="A24" s="390" t="str">
        <f>Criterios!A4</f>
        <v>Fecha Informe: 18 jun. 2026</v>
      </c>
    </row>
    <row r="28" spans="1:69">
      <c r="A28" s="413"/>
    </row>
  </sheetData>
  <sheetProtection algorithmName="SHA-512" hashValue="QbFMIhEh4hxLMO4iyF4HeL2ixYxgUFlW9EiZK3g+fQ6VnfrxpJynox3E49K0fjrFKVyk6eHXzs3ZrB/z4I3q4g==" saltValue="BMjvQrCIcBLJZzWIGr1MtQ==" spinCount="100000" sheet="1" objects="1" scenarios="1"/>
  <mergeCells count="10">
    <mergeCell ref="M5:M7"/>
    <mergeCell ref="N5:N7"/>
    <mergeCell ref="A23:B23"/>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 style="642" customWidth="1"/>
    <col min="9" max="9" width="14.42578125" style="643" customWidth="1"/>
    <col min="10" max="11" width="14.28515625" style="642" customWidth="1"/>
    <col min="12" max="13" width="14.28515625" style="644" customWidth="1"/>
    <col min="14" max="15" width="14.7109375" style="642" customWidth="1"/>
    <col min="16" max="16" width="14.28515625" style="642" customWidth="1"/>
    <col min="17" max="18" width="14.28515625" style="645" customWidth="1"/>
    <col min="19" max="20" width="14.28515625" style="642" customWidth="1"/>
    <col min="21" max="22" width="14.28515625" style="645" customWidth="1"/>
    <col min="23" max="24" width="14.140625" style="642" customWidth="1"/>
    <col min="25" max="25" width="14.28515625" style="778" customWidth="1"/>
    <col min="26" max="26" width="12.85546875" style="642" customWidth="1"/>
    <col min="27" max="27" width="14.28515625" style="645" customWidth="1"/>
    <col min="28" max="29" width="14.85546875" style="642" customWidth="1"/>
    <col min="30" max="31" width="16.28515625" style="642" customWidth="1"/>
    <col min="32" max="33" width="14.28515625" style="642" customWidth="1"/>
    <col min="34" max="35" width="16.28515625" style="642" customWidth="1"/>
    <col min="36" max="36" width="12.5703125" style="642" customWidth="1"/>
    <col min="37" max="37" width="13" style="642" customWidth="1"/>
    <col min="38" max="39" width="12.85546875" style="642" customWidth="1"/>
    <col min="40" max="41" width="11.42578125" style="642"/>
    <col min="42" max="43" width="12.28515625" style="642" customWidth="1"/>
    <col min="44" max="45" width="16.140625" style="645" customWidth="1"/>
    <col min="46" max="49" width="14.5703125" style="642" customWidth="1"/>
    <col min="50" max="51" width="13.42578125" style="642" customWidth="1"/>
    <col min="52" max="54" width="14.85546875" style="642" customWidth="1"/>
    <col min="55" max="56" width="14.42578125" hidden="1" customWidth="1"/>
    <col min="57" max="57" width="15.85546875" style="642" hidden="1" customWidth="1"/>
    <col min="58" max="65" width="11.42578125" style="642" hidden="1" customWidth="1"/>
    <col min="66" max="77" width="11.42578125" style="642"/>
    <col min="78" max="78" width="0" style="1021" hidden="1" customWidth="1"/>
    <col min="79" max="16384" width="11.42578125" style="642"/>
  </cols>
  <sheetData>
    <row r="1" spans="1:78">
      <c r="C1" s="641" t="str">
        <f>Criterios!A9 &amp;"  "&amp;Criterios!B9</f>
        <v>Tribunales de Justicia  ANDALUCIA</v>
      </c>
      <c r="W1"/>
      <c r="X1"/>
    </row>
    <row r="2" spans="1:78" ht="16.5" customHeight="1">
      <c r="C2" s="487" t="str">
        <f>Criterios!A10 &amp;"  "&amp;Criterios!B10 &amp; "  " &amp; IF(NOT(ISBLANK(Criterios!A11)),Criterios!A11 &amp;"  "&amp;Criterios!B11,"")</f>
        <v>Provincias  CADIZ  Resumenes por Partidos Judiciales  SAN ROQUE</v>
      </c>
      <c r="D2" s="641"/>
      <c r="E2" s="646"/>
      <c r="F2" s="646"/>
      <c r="G2" s="647"/>
      <c r="H2" s="646"/>
      <c r="I2" s="648"/>
      <c r="J2" s="646"/>
      <c r="K2" s="646"/>
      <c r="L2" s="649"/>
      <c r="M2" s="649"/>
      <c r="N2" s="646"/>
      <c r="O2" s="646"/>
      <c r="S2" s="646"/>
      <c r="T2" s="646"/>
      <c r="U2" s="650"/>
      <c r="V2" s="650"/>
      <c r="W2" s="646"/>
      <c r="X2" s="646"/>
      <c r="Y2" s="779"/>
      <c r="BC2" s="261"/>
      <c r="BD2" s="261"/>
      <c r="BE2" s="646"/>
    </row>
    <row r="3" spans="1:78" ht="16.5" customHeight="1">
      <c r="C3" s="651"/>
      <c r="D3" s="652"/>
      <c r="G3" s="647"/>
      <c r="H3" s="646"/>
      <c r="W3"/>
      <c r="X3"/>
      <c r="BZ3" s="470"/>
    </row>
    <row r="4" spans="1:78" ht="16.5" customHeight="1" thickBot="1">
      <c r="C4" s="651"/>
      <c r="D4" s="653"/>
      <c r="E4" s="654"/>
      <c r="F4" s="654"/>
      <c r="G4" s="654"/>
      <c r="H4" s="654"/>
      <c r="I4" s="655"/>
      <c r="J4" s="654"/>
      <c r="K4" s="654"/>
      <c r="L4" s="649"/>
      <c r="M4" s="654"/>
      <c r="N4" s="654"/>
      <c r="O4" s="654"/>
      <c r="P4" s="654"/>
      <c r="Q4" s="650"/>
      <c r="R4" s="650"/>
      <c r="S4" s="654"/>
      <c r="T4" s="654"/>
      <c r="U4" s="654"/>
      <c r="V4" s="654"/>
      <c r="W4" s="654"/>
      <c r="X4" s="654"/>
      <c r="Y4" s="779"/>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654"/>
      <c r="BB4" s="654"/>
      <c r="BC4" s="329"/>
      <c r="BD4" s="329"/>
      <c r="BE4" s="654"/>
      <c r="BZ4" s="470"/>
    </row>
    <row r="5" spans="1:78" ht="15.75" customHeight="1">
      <c r="A5" s="1542" t="s">
        <v>352</v>
      </c>
      <c r="B5" s="271"/>
      <c r="C5" s="1542" t="str">
        <f>"Año:  " &amp;Criterios!B$5 &amp; "          Trimestre   " &amp;Criterios!D$5 &amp; " al " &amp;Criterios!D$6</f>
        <v>Año:  2026          Trimestre   1 al 1</v>
      </c>
      <c r="D5" s="1774" t="s">
        <v>425</v>
      </c>
      <c r="E5" s="1774" t="s">
        <v>552</v>
      </c>
      <c r="F5" s="1809" t="s">
        <v>407</v>
      </c>
      <c r="G5" s="1774" t="s">
        <v>130</v>
      </c>
      <c r="H5" s="1774" t="s">
        <v>685</v>
      </c>
      <c r="I5" s="1774" t="s">
        <v>686</v>
      </c>
      <c r="J5" s="1774" t="s">
        <v>689</v>
      </c>
      <c r="K5" s="1774" t="s">
        <v>690</v>
      </c>
      <c r="L5" s="1774" t="s">
        <v>580</v>
      </c>
      <c r="M5" s="1774" t="s">
        <v>711</v>
      </c>
      <c r="N5" s="1774" t="s">
        <v>691</v>
      </c>
      <c r="O5" s="1774" t="s">
        <v>687</v>
      </c>
      <c r="P5" s="1774" t="s">
        <v>169</v>
      </c>
      <c r="Q5" s="1774" t="s">
        <v>668</v>
      </c>
      <c r="R5" s="1774" t="s">
        <v>712</v>
      </c>
      <c r="S5" s="1774" t="str">
        <f>"Ingreso Computable 2003" &amp; IF(OR(EXACT(LEFT(boletin,2),"04"),EXACT(LEFT(boletin,2),"14"),EXACT(LEFT(boletin,2),"17"))," (Civil + Penal)","")</f>
        <v>Ingreso Computable 2003</v>
      </c>
      <c r="T5" s="1774" t="s">
        <v>688</v>
      </c>
      <c r="U5" s="1792" t="str">
        <f>"% Ingreso Computable 2003" &amp; IF(OR(EXACT(LEFT(boletin,2),"04"),EXACT(LEFT(boletin,2),"14"),EXACT(LEFT(boletin,2),"17"))," (Civil + Penal)","")</f>
        <v>% Ingreso Computable 2003</v>
      </c>
      <c r="V5" s="1792" t="s">
        <v>692</v>
      </c>
      <c r="W5" s="1774" t="s">
        <v>748</v>
      </c>
      <c r="X5" s="1774" t="s">
        <v>749</v>
      </c>
      <c r="Y5" s="1795" t="s">
        <v>659</v>
      </c>
      <c r="Z5" s="1828" t="str">
        <f>"RESOLUCION Nº  H/P" &amp; IF(OR(EXACT(LEFT(boletin,2),"04"),EXACT(LEFT(boletin,2),"14"),EXACT(LEFT(boletin,2),"17"))," (Civil + Penal)","")</f>
        <v>RESOLUCION Nº  H/P</v>
      </c>
      <c r="AA5" s="1831" t="str">
        <f>" % S/Iindicador  De  Resolución (Horas punto)" &amp; IF(OR(EXACT(LEFT(boletin,2),"04"),EXACT(LEFT(boletin,2),"14"),EXACT(LEFT(boletin,2),"17"))," (Civil + Penal)","")</f>
        <v xml:space="preserve"> % S/Iindicador  De  Resolución (Horas punto)</v>
      </c>
      <c r="AB5" s="1828" t="s">
        <v>693</v>
      </c>
      <c r="AC5" s="1828" t="s">
        <v>694</v>
      </c>
      <c r="AD5" s="1828" t="s">
        <v>695</v>
      </c>
      <c r="AE5" s="1828" t="s">
        <v>696</v>
      </c>
      <c r="AF5" s="1774" t="s">
        <v>697</v>
      </c>
      <c r="AG5" s="1774" t="s">
        <v>698</v>
      </c>
      <c r="AH5" s="1774" t="s">
        <v>699</v>
      </c>
      <c r="AI5" s="1774" t="s">
        <v>700</v>
      </c>
      <c r="AJ5" s="1774" t="s">
        <v>183</v>
      </c>
      <c r="AK5" s="1777" t="s">
        <v>531</v>
      </c>
      <c r="AL5" s="1777" t="s">
        <v>184</v>
      </c>
      <c r="AM5" s="1774" t="s">
        <v>562</v>
      </c>
      <c r="AN5" s="1774" t="s">
        <v>248</v>
      </c>
      <c r="AO5" s="1774" t="s">
        <v>249</v>
      </c>
      <c r="AP5" s="1774" t="s">
        <v>701</v>
      </c>
      <c r="AQ5" s="1774" t="s">
        <v>702</v>
      </c>
      <c r="AR5" s="1774" t="s">
        <v>703</v>
      </c>
      <c r="AS5" s="1774" t="s">
        <v>704</v>
      </c>
      <c r="AT5" s="1774" t="s">
        <v>705</v>
      </c>
      <c r="AU5" s="1774" t="s">
        <v>706</v>
      </c>
      <c r="AV5" s="1774" t="s">
        <v>707</v>
      </c>
      <c r="AW5" s="1774" t="s">
        <v>708</v>
      </c>
      <c r="AX5" s="1774" t="s">
        <v>795</v>
      </c>
      <c r="AY5" s="1774" t="s">
        <v>798</v>
      </c>
      <c r="AZ5" s="1774" t="s">
        <v>709</v>
      </c>
      <c r="BA5" s="1774" t="s">
        <v>710</v>
      </c>
      <c r="BB5" s="1774" t="s">
        <v>530</v>
      </c>
      <c r="BC5" s="1604" t="s">
        <v>717</v>
      </c>
      <c r="BD5" s="1604" t="s">
        <v>718</v>
      </c>
      <c r="BE5" s="1809" t="s">
        <v>719</v>
      </c>
      <c r="BF5" s="1836"/>
      <c r="BG5" s="1837"/>
      <c r="BH5" s="1836"/>
      <c r="BI5" s="1837"/>
      <c r="BJ5" s="1836"/>
      <c r="BK5" s="1837"/>
      <c r="BL5" s="1836"/>
      <c r="BM5" s="1837"/>
      <c r="BZ5" s="470"/>
    </row>
    <row r="6" spans="1:78" ht="21.75" customHeight="1">
      <c r="A6" s="1825"/>
      <c r="B6" s="656"/>
      <c r="C6" s="1827"/>
      <c r="D6" s="1775"/>
      <c r="E6" s="1775"/>
      <c r="F6" s="1810"/>
      <c r="G6" s="1775"/>
      <c r="H6" s="1775"/>
      <c r="I6" s="1775"/>
      <c r="J6" s="1775"/>
      <c r="K6" s="1775"/>
      <c r="L6" s="1775"/>
      <c r="M6" s="1775"/>
      <c r="N6" s="1775"/>
      <c r="O6" s="1775"/>
      <c r="P6" s="1775"/>
      <c r="Q6" s="1775"/>
      <c r="R6" s="1775"/>
      <c r="S6" s="1775"/>
      <c r="T6" s="1775"/>
      <c r="U6" s="1793"/>
      <c r="V6" s="1793"/>
      <c r="W6" s="1775"/>
      <c r="X6" s="1775"/>
      <c r="Y6" s="1796"/>
      <c r="Z6" s="1829"/>
      <c r="AA6" s="1832"/>
      <c r="AB6" s="1829"/>
      <c r="AC6" s="1829"/>
      <c r="AD6" s="1829"/>
      <c r="AE6" s="1829"/>
      <c r="AF6" s="1775"/>
      <c r="AG6" s="1775"/>
      <c r="AH6" s="1775"/>
      <c r="AI6" s="1775"/>
      <c r="AJ6" s="1775"/>
      <c r="AK6" s="1778"/>
      <c r="AL6" s="1778"/>
      <c r="AM6" s="1775"/>
      <c r="AN6" s="1775"/>
      <c r="AO6" s="1775"/>
      <c r="AP6" s="1775"/>
      <c r="AQ6" s="1775"/>
      <c r="AR6" s="1775"/>
      <c r="AS6" s="1775"/>
      <c r="AT6" s="1775"/>
      <c r="AU6" s="1775"/>
      <c r="AV6" s="1775"/>
      <c r="AW6" s="1775"/>
      <c r="AX6" s="1775"/>
      <c r="AY6" s="1775"/>
      <c r="AZ6" s="1775"/>
      <c r="BA6" s="1775"/>
      <c r="BB6" s="1775"/>
      <c r="BC6" s="1605"/>
      <c r="BD6" s="1605"/>
      <c r="BE6" s="1810"/>
      <c r="BF6" s="1834"/>
      <c r="BG6" s="1834"/>
      <c r="BH6" s="1834"/>
      <c r="BI6" s="1834"/>
      <c r="BJ6" s="1834"/>
      <c r="BK6" s="1834"/>
      <c r="BL6" s="1834"/>
      <c r="BM6" s="1834"/>
      <c r="BZ6" s="470"/>
    </row>
    <row r="7" spans="1:78" ht="38.25" customHeight="1" thickBot="1">
      <c r="A7" s="1826"/>
      <c r="B7" s="657"/>
      <c r="C7" s="658" t="str">
        <f>Datos!A7</f>
        <v>COMPETENCIAS</v>
      </c>
      <c r="D7" s="1776"/>
      <c r="E7" s="1776"/>
      <c r="F7" s="1811"/>
      <c r="G7" s="1776"/>
      <c r="H7" s="1776"/>
      <c r="I7" s="1776"/>
      <c r="J7" s="1776"/>
      <c r="K7" s="1776"/>
      <c r="L7" s="1776"/>
      <c r="M7" s="1776"/>
      <c r="N7" s="1776"/>
      <c r="O7" s="1776"/>
      <c r="P7" s="1776"/>
      <c r="Q7" s="1776"/>
      <c r="R7" s="1776"/>
      <c r="S7" s="1776"/>
      <c r="T7" s="1776"/>
      <c r="U7" s="1794"/>
      <c r="V7" s="1794"/>
      <c r="W7" s="1776"/>
      <c r="X7" s="1776"/>
      <c r="Y7" s="1797"/>
      <c r="Z7" s="1830"/>
      <c r="AA7" s="1833"/>
      <c r="AB7" s="1830"/>
      <c r="AC7" s="1830"/>
      <c r="AD7" s="1830"/>
      <c r="AE7" s="1830"/>
      <c r="AF7" s="1776"/>
      <c r="AG7" s="1776"/>
      <c r="AH7" s="1776"/>
      <c r="AI7" s="1776"/>
      <c r="AJ7" s="1776"/>
      <c r="AK7" s="1779"/>
      <c r="AL7" s="1779"/>
      <c r="AM7" s="1776"/>
      <c r="AN7" s="1776"/>
      <c r="AO7" s="1776"/>
      <c r="AP7" s="1776"/>
      <c r="AQ7" s="1776"/>
      <c r="AR7" s="1776"/>
      <c r="AS7" s="1776"/>
      <c r="AT7" s="1776"/>
      <c r="AU7" s="1776"/>
      <c r="AV7" s="1776"/>
      <c r="AW7" s="1776"/>
      <c r="AX7" s="1776"/>
      <c r="AY7" s="1776"/>
      <c r="AZ7" s="1776"/>
      <c r="BA7" s="1776"/>
      <c r="BB7" s="1776"/>
      <c r="BC7" s="1838"/>
      <c r="BD7" s="1838"/>
      <c r="BE7" s="1811"/>
      <c r="BF7" s="1835"/>
      <c r="BG7" s="1835"/>
      <c r="BH7" s="1835"/>
      <c r="BI7" s="1835"/>
      <c r="BJ7" s="1835"/>
      <c r="BK7" s="1835"/>
      <c r="BL7" s="1835"/>
      <c r="BM7" s="1835"/>
      <c r="BZ7" s="470"/>
    </row>
    <row r="8" spans="1:78" ht="15.75" thickTop="1" thickBot="1">
      <c r="A8" s="659"/>
      <c r="B8" s="659"/>
      <c r="C8" s="160" t="str">
        <f>Datos!A8</f>
        <v>Jurisdicción Civil ( 1 ):</v>
      </c>
      <c r="D8" s="660"/>
      <c r="E8" s="660"/>
      <c r="F8" s="661"/>
      <c r="G8" s="661"/>
      <c r="H8" s="661"/>
      <c r="I8" s="662"/>
      <c r="J8" s="662"/>
      <c r="K8" s="662"/>
      <c r="L8" s="663"/>
      <c r="M8" s="663"/>
      <c r="N8" s="662"/>
      <c r="O8" s="662"/>
      <c r="P8" s="662"/>
      <c r="Q8" s="664"/>
      <c r="R8" s="664"/>
      <c r="S8" s="662"/>
      <c r="T8" s="662"/>
      <c r="U8" s="664"/>
      <c r="V8" s="664"/>
      <c r="W8" s="1011"/>
      <c r="X8" s="1012"/>
      <c r="Y8" s="662"/>
      <c r="Z8" s="665"/>
      <c r="AA8" s="666"/>
      <c r="AB8" s="661"/>
      <c r="AC8" s="661"/>
      <c r="AD8" s="662"/>
      <c r="AE8" s="662"/>
      <c r="AF8" s="661"/>
      <c r="AG8" s="661"/>
      <c r="AH8" s="662"/>
      <c r="AI8" s="662"/>
      <c r="AJ8" s="667"/>
      <c r="AK8" s="669"/>
      <c r="AL8" s="661"/>
      <c r="AM8" s="662"/>
      <c r="AN8" s="671"/>
      <c r="AO8" s="672"/>
      <c r="AP8" s="774"/>
      <c r="AQ8" s="774"/>
      <c r="AR8" s="673"/>
      <c r="AS8" s="673"/>
      <c r="AT8" s="673"/>
      <c r="AU8" s="673"/>
      <c r="AV8" s="674"/>
      <c r="AW8" s="674"/>
      <c r="AX8" s="673"/>
      <c r="AY8" s="673"/>
      <c r="AZ8" s="676"/>
      <c r="BA8" s="676"/>
      <c r="BB8" s="677"/>
      <c r="BC8" s="216"/>
      <c r="BD8" s="216"/>
      <c r="BE8" s="661"/>
      <c r="BF8" s="678"/>
      <c r="BG8" s="678"/>
      <c r="BH8" s="678"/>
      <c r="BI8" s="678"/>
      <c r="BJ8" s="678"/>
      <c r="BK8" s="678"/>
      <c r="BL8" s="678"/>
      <c r="BM8" s="678"/>
    </row>
    <row r="9" spans="1:78" ht="15">
      <c r="A9" s="500">
        <f>Datos!AO9</f>
        <v>0</v>
      </c>
      <c r="B9" s="500" t="s">
        <v>247</v>
      </c>
      <c r="C9" s="159" t="str">
        <f>Datos!A9</f>
        <v>Sección Civil del T.I</v>
      </c>
      <c r="D9" s="501"/>
      <c r="E9" s="679">
        <f>IF(ISNUMBER(Datos!AQ9),Datos!AQ9," - ")</f>
        <v>0</v>
      </c>
      <c r="F9" s="680" t="str">
        <f>IF(ISNUMBER(AF9+AB9-I9),AF9+AB9-I9," - ")</f>
        <v xml:space="preserve"> - </v>
      </c>
      <c r="G9" s="681" t="str">
        <f>IF(ISNUMBER(IF(J_V="SI",Datos!I9,Datos!I9+Datos!Y9)-IF(Monitorios="SI",Datos!CA9,0)),
                          IF(J_V="SI",Datos!I9,Datos!I9+Datos!Y9)-IF(Monitorios="SI",Datos!CA9,0),
                          " - ")</f>
        <v xml:space="preserve"> - </v>
      </c>
      <c r="H9" s="680"/>
      <c r="I9" s="682"/>
      <c r="J9" s="682">
        <f>IF(ISNUMBER(Datos!DF9),Datos!DF9,0)</f>
        <v>0</v>
      </c>
      <c r="K9" s="682"/>
      <c r="L9" s="679"/>
      <c r="M9" s="679"/>
      <c r="N9" s="682"/>
      <c r="O9" s="682"/>
      <c r="P9" s="682"/>
      <c r="Q9" s="683"/>
      <c r="R9" s="683"/>
      <c r="S9" s="682"/>
      <c r="T9" s="682"/>
      <c r="U9" s="684"/>
      <c r="V9" s="684"/>
      <c r="W9" s="682"/>
      <c r="X9" s="1013"/>
      <c r="Y9" s="781"/>
      <c r="Z9" s="680"/>
      <c r="AA9" s="722"/>
      <c r="AB9" s="680"/>
      <c r="AC9" s="680"/>
      <c r="AD9" s="682"/>
      <c r="AE9" s="682"/>
      <c r="AF9" s="685" t="str">
        <f>IF(ISNUMBER(IF(J_V="SI",Datos!L9,Datos!L9+Datos!AB9)-IF(Monitorios="SI",Datos!CD9,0)),
                          IF(J_V="SI",Datos!L9,Datos!L9+Datos!AB9)-IF(Monitorios="SI",Datos!CD9,0),
                          " - ")</f>
        <v xml:space="preserve"> - </v>
      </c>
      <c r="AG9" s="685"/>
      <c r="AH9" s="686"/>
      <c r="AI9" s="686"/>
      <c r="AJ9" s="679"/>
      <c r="AK9" s="669"/>
      <c r="AL9" s="680"/>
      <c r="AM9" s="687"/>
      <c r="AN9" s="687"/>
      <c r="AO9" s="688"/>
      <c r="AP9" s="690"/>
      <c r="AQ9" s="690"/>
      <c r="AR9" s="691"/>
      <c r="AS9" s="691"/>
      <c r="AT9" s="691"/>
      <c r="AU9" s="691"/>
      <c r="AV9" s="692"/>
      <c r="AW9" s="692"/>
      <c r="AX9" s="694"/>
      <c r="AY9" s="694"/>
      <c r="AZ9" s="694"/>
      <c r="BA9" s="694"/>
      <c r="BB9" s="695">
        <f>Datos!DU9</f>
        <v>0</v>
      </c>
      <c r="BC9" s="225"/>
      <c r="BD9" s="225"/>
      <c r="BE9" s="680"/>
      <c r="BF9" s="696"/>
      <c r="BG9" s="696"/>
      <c r="BH9" s="696"/>
      <c r="BI9" s="696"/>
      <c r="BJ9" s="696"/>
      <c r="BK9" s="696"/>
      <c r="BL9" s="696"/>
      <c r="BM9" s="696"/>
      <c r="BZ9" s="1181">
        <f>Datos!EZ9</f>
        <v>0</v>
      </c>
    </row>
    <row r="10" spans="1:78" ht="15">
      <c r="A10" s="500">
        <f>Datos!AO10</f>
        <v>1</v>
      </c>
      <c r="B10" s="506" t="s">
        <v>247</v>
      </c>
      <c r="C10" s="7" t="str">
        <f>Datos!A10</f>
        <v>Sección De Violencia sobre la Mujer del TI</v>
      </c>
      <c r="D10" s="507"/>
      <c r="E10" s="679">
        <f>IF(ISNUMBER(Datos!AQ10),Datos!AQ10," - ")</f>
        <v>0</v>
      </c>
      <c r="F10" s="680">
        <f>IF(ISNUMBER(Datos!L10+Datos!K10-Datos!J10),Datos!L10+Datos!K10-Datos!J10," - ")</f>
        <v>0</v>
      </c>
      <c r="G10" s="681">
        <f>IF(ISNUMBER(Datos!I10),Datos!I10," - ")</f>
        <v>0</v>
      </c>
      <c r="H10" s="680" t="str">
        <f>IF(ISNUMBER(Datos!DB10),Datos!DB10," - ")</f>
        <v xml:space="preserve"> - </v>
      </c>
      <c r="I10" s="682" t="str">
        <f>IF(ISNUMBER(DatosP!DB18),DatosP!DB18," - ")</f>
        <v xml:space="preserve"> - </v>
      </c>
      <c r="J10" s="682">
        <f>IF(ISNUMBER(Datos!DF10),Datos!DF10,0)</f>
        <v>0</v>
      </c>
      <c r="K10" s="682">
        <f>IF(ISNUMBER(DatosP!DF18),DatosP!DF18,0)</f>
        <v>0</v>
      </c>
      <c r="L10" s="679" t="str">
        <f>IF(ISNUMBER(DatosP!EB18),DatosP!EB18," - ")</f>
        <v xml:space="preserve"> - </v>
      </c>
      <c r="M10" s="679" t="str">
        <f>IF(ISNUMBER(DatosP!EC18),DatosP!EC18," - ")</f>
        <v xml:space="preserve"> - </v>
      </c>
      <c r="N10" s="682">
        <f>IF(ISNUMBER(Datos!P10),Datos!P10,0)</f>
        <v>0</v>
      </c>
      <c r="O10" s="682">
        <f>IF(ISNUMBER(DatosP!P18),DatosP!P18,0)</f>
        <v>0</v>
      </c>
      <c r="P10" s="682"/>
      <c r="Q10" s="683" t="str">
        <f>IF(ISNUMBER(DatosP!EB18*factor_trimestre/DatosP!EE18),DatosP!EB18*factor_trimestre/DatosP!EE18," - ")</f>
        <v xml:space="preserve"> - </v>
      </c>
      <c r="R10" s="683" t="str">
        <f>IF(ISNUMBER(DatosP!EC18*factor_trimestre/DatosP!EF18),DatosP!EC18*factor_trimestre/DatosP!EF18," - ")</f>
        <v xml:space="preserve"> - </v>
      </c>
      <c r="S10" s="682" t="str">
        <f>IF(ISNUMBER(Datos!AS10/E10),Datos!AS10/E10," - ")</f>
        <v xml:space="preserve"> - </v>
      </c>
      <c r="T10" s="682" t="str">
        <f>IF(ISNUMBER(DatosP!AS18/E10),DatosP!AS18/E10," - ")</f>
        <v xml:space="preserve"> - </v>
      </c>
      <c r="U10" s="684" t="str">
        <f>IF(ISNUMBER(S10/(Datos!BM10/factor_trimestre)),S10/(Datos!BM10/factor_trimestre)," - ")</f>
        <v xml:space="preserve"> - </v>
      </c>
      <c r="V10" s="684" t="str">
        <f>IF(ISNUMBER(T10/(DatosP!BM18/factor_trimestre)),T10/(Datos!BM18/factor_trimestre)," - ")</f>
        <v xml:space="preserve"> - </v>
      </c>
      <c r="W10" s="682" t="str">
        <f>IF(ISNUMBER(Datos!EO10+DatosP!EO18),Datos!EO10+DatosP!EO18," - ")</f>
        <v xml:space="preserve"> - </v>
      </c>
      <c r="X10" s="1013" t="str">
        <f>IF(ISNUMBER((W10/(Datos!ER10))*factor_trimestre),(W10/(Datos!ER10))*factor_trimestre," - ")</f>
        <v xml:space="preserve"> - </v>
      </c>
      <c r="Y10" s="781"/>
      <c r="Z10" s="680">
        <f>IF(ISNUMBER(Datos!BY10+DatosP!BY18+Datos!BZ10+DatosP!BZ18),Datos!BY10+DatosP!BY18+Datos!BZ10+DatosP!BZ18," - ")</f>
        <v>0</v>
      </c>
      <c r="AA10" s="722">
        <f>IF(ISNUMBER((Z10*factor_trimestre)/((Datos!CN10+DatosP!CN18)/2)),(Z10*factor_trimestre)/((Datos!CN10+DatosP!CN18)/2),"-")</f>
        <v>0</v>
      </c>
      <c r="AB10" s="680">
        <f>IF(ISNUMBER(Datos!K10),Datos!K10," - ")</f>
        <v>0</v>
      </c>
      <c r="AC10" s="680" t="str">
        <f>IF(ISNUMBER(IF(D_I="SI",DatosP!K18,DatosP!K18+DatosP!AE18)),IF(D_I="SI",DatosP!K18,DatosP!K18+DatosP!AE18)," - ")</f>
        <v xml:space="preserve"> - </v>
      </c>
      <c r="AD10" s="682"/>
      <c r="AE10" s="682"/>
      <c r="AF10" s="685">
        <f>IF(ISNUMBER(Datos!L10),Datos!L10,"-")</f>
        <v>0</v>
      </c>
      <c r="AG10" s="685" t="str">
        <f>IF(ISNUMBER(DatosP!L18),DatosP!L18,"-")</f>
        <v>-</v>
      </c>
      <c r="AH10" s="686"/>
      <c r="AI10" s="686"/>
      <c r="AJ10" s="679">
        <f>IF(ISNUMBER(Datos!BV10+DatosP!BV18),Datos!BV10+DatosP!BV18," - ")</f>
        <v>0</v>
      </c>
      <c r="AK10" s="669">
        <f>IF(ISNUMBER(Datos!DV10+DatosP!DV18),Datos!DV10+DatosP!DV18," - ")</f>
        <v>0</v>
      </c>
      <c r="AL10" s="680">
        <f>IF(ISNUMBER(Datos!M10+DatosP!M18),Datos!M10+DatosP!M18," - ")</f>
        <v>0</v>
      </c>
      <c r="AM10" s="687">
        <f>IF(ISNUMBER(Datos!N10+DatosP!N18),Datos!N10+DatosP!N18," - ")</f>
        <v>0</v>
      </c>
      <c r="AN10" s="687">
        <f>IF(ISNUMBER(Datos!BW10+DatosP!BW18),Datos!BW10+DatosP!BW18," - ")</f>
        <v>0</v>
      </c>
      <c r="AO10" s="688">
        <f>IF(ISNUMBER(Datos!BX10+DatosP!BX18),Datos!BX10+DatosP!BX18," - ")</f>
        <v>0</v>
      </c>
      <c r="AP10" s="690" t="str">
        <f>IF(ISNUMBER(((Datos!L10/Datos!K10)*11)/factor_trimestre),((Datos!L10/Datos!K10)*11)/factor_trimestre," - ")</f>
        <v xml:space="preserve"> - </v>
      </c>
      <c r="AQ10" s="690" t="str">
        <f>IF(ISNUMBER(((IF(D_I="SI",DatosP!L18/DatosP!K18,(DatosP!L18+DatosP!AF18)/(DatosP!K18+DatosP!AE18)))*11)/factor_trimestre),((IF(D_I="SI",DatosP!L18/DatosP!K18,(DatosP!L18+DatosP!AF18)/(DatosP!K18+DatosP!AE18)))*11)/factor_trimestre," - ")</f>
        <v xml:space="preserve"> - </v>
      </c>
      <c r="AR10" s="691" t="str">
        <f>IF(ISNUMBER(Datos!CI10/Datos!CJ10),Datos!CI10/Datos!CJ10," - ")</f>
        <v xml:space="preserve"> - </v>
      </c>
      <c r="AS10" s="691" t="str">
        <f>IF(ISNUMBER(DatosP!CI18/DatosP!CJ18),DatosP!CI18/DatosP!CJ18," - ")</f>
        <v xml:space="preserve"> - </v>
      </c>
      <c r="AT10" s="691" t="str">
        <f>IF(ISNUMBER(((H10-AB10+J10)/(F10-J10))),(H10-AB10+J10)/(F10-J10)," - ")</f>
        <v xml:space="preserve"> - </v>
      </c>
      <c r="AU10" s="691" t="str">
        <f>IF(ISNUMBER((DatosP!DB18-DatosP!K18+DatosP!DF18)/(DatosP!L18+DatosP!K18-DatosP!J18-DatosP!DF18)),(DatosP!DB18-DatosP!K18+DatosP!DF18)/(DatosP!L18+DatosP!K18-DatosP!J18-DatosP!DF18)," - ")</f>
        <v xml:space="preserve"> - </v>
      </c>
      <c r="AV10" s="692"/>
      <c r="AW10" s="692"/>
      <c r="AX10" s="694">
        <f>IF(ISNUMBER(Datos!EV10+DatosP!EV18),Datos!EV10+DatosP!EV18," - ")</f>
        <v>0</v>
      </c>
      <c r="AY10" s="694">
        <f>IF(ISNUMBER(Datos!CW10+DatosP!CW18),Datos!CW10+DatosP!CW18," - ")</f>
        <v>0</v>
      </c>
      <c r="AZ10" s="694">
        <f>Datos!CX10</f>
        <v>0</v>
      </c>
      <c r="BA10" s="694">
        <f>DatosP!CX18</f>
        <v>0</v>
      </c>
      <c r="BB10" s="695">
        <f>Datos!DU10</f>
        <v>0</v>
      </c>
      <c r="BC10" s="225"/>
      <c r="BD10" s="225"/>
      <c r="BE10" s="680">
        <f>IF(ISNUMBER(DatosP!L18+DatosP!K18-DatosP!J18),DatosP!L18+DatosP!K18-DatosP!J18," - ")</f>
        <v>0</v>
      </c>
      <c r="BF10" s="696"/>
      <c r="BG10" s="696"/>
      <c r="BH10" s="696"/>
      <c r="BI10" s="696"/>
      <c r="BJ10" s="696"/>
      <c r="BK10" s="696"/>
      <c r="BL10" s="696"/>
      <c r="BM10" s="696"/>
      <c r="BZ10" s="1181">
        <f>Datos!EZ10</f>
        <v>0</v>
      </c>
    </row>
    <row r="11" spans="1:78" ht="15">
      <c r="A11" s="500">
        <f>Datos!AO11</f>
        <v>0</v>
      </c>
      <c r="B11" s="506" t="s">
        <v>247</v>
      </c>
      <c r="C11" s="7" t="str">
        <f>Datos!A11</f>
        <v xml:space="preserve">Sección de Familia, infancia e incapacidad del TI                           </v>
      </c>
      <c r="D11" s="507"/>
      <c r="E11" s="679">
        <f>IF(ISNUMBER(Datos!AQ11),Datos!AQ11," - ")</f>
        <v>0</v>
      </c>
      <c r="F11" s="680" t="str">
        <f>IF(ISNUMBER(AF11+AB11-I11),AF11+AB11-I11," - ")</f>
        <v xml:space="preserve"> - </v>
      </c>
      <c r="G11" s="681" t="str">
        <f>IF(ISNUMBER(IF(J_V="SI",Datos!I11,Datos!I11+Datos!Y11)-IF(Monitorios="SI",Datos!CA11,0)),
                          IF(J_V="SI",Datos!I11,Datos!I11+Datos!Y11)-IF(Monitorios="SI",Datos!CA11,0),
                          " - ")</f>
        <v xml:space="preserve"> - </v>
      </c>
      <c r="H11" s="680"/>
      <c r="I11" s="682"/>
      <c r="J11" s="682">
        <f>IF(ISNUMBER(Datos!DF11),Datos!DF11,0)</f>
        <v>0</v>
      </c>
      <c r="K11" s="682"/>
      <c r="L11" s="679"/>
      <c r="M11" s="679"/>
      <c r="N11" s="682"/>
      <c r="O11" s="682"/>
      <c r="P11" s="682"/>
      <c r="Q11" s="683"/>
      <c r="R11" s="683"/>
      <c r="S11" s="682"/>
      <c r="T11" s="682"/>
      <c r="U11" s="684"/>
      <c r="V11" s="684"/>
      <c r="W11" s="682"/>
      <c r="X11" s="1013"/>
      <c r="Y11" s="781"/>
      <c r="Z11" s="680"/>
      <c r="AA11" s="722"/>
      <c r="AB11" s="680"/>
      <c r="AC11" s="680"/>
      <c r="AD11" s="682"/>
      <c r="AE11" s="682"/>
      <c r="AF11" s="685" t="str">
        <f>IF(ISNUMBER(IF(J_V="SI",Datos!L11,Datos!L11+Datos!AB11)-IF(Monitorios="SI",Datos!CD11,0)),
                          IF(J_V="SI",Datos!L11,Datos!L11+Datos!AB11)-IF(Monitorios="SI",Datos!CD11,0),
                          " - ")</f>
        <v xml:space="preserve"> - </v>
      </c>
      <c r="AG11" s="685"/>
      <c r="AH11" s="686"/>
      <c r="AI11" s="686"/>
      <c r="AJ11" s="686"/>
      <c r="AK11" s="669"/>
      <c r="AL11" s="680"/>
      <c r="AM11" s="687"/>
      <c r="AN11" s="687"/>
      <c r="AO11" s="688"/>
      <c r="AP11" s="690"/>
      <c r="AQ11" s="690"/>
      <c r="AR11" s="691"/>
      <c r="AS11" s="691"/>
      <c r="AT11" s="691"/>
      <c r="AU11" s="691"/>
      <c r="AV11" s="692"/>
      <c r="AW11" s="692"/>
      <c r="AX11" s="694"/>
      <c r="AY11" s="694"/>
      <c r="AZ11" s="694"/>
      <c r="BA11" s="694"/>
      <c r="BB11" s="695">
        <f>Datos!DU11</f>
        <v>0</v>
      </c>
      <c r="BC11" s="225"/>
      <c r="BD11" s="225"/>
      <c r="BE11" s="680"/>
      <c r="BF11" s="696"/>
      <c r="BG11" s="696"/>
      <c r="BH11" s="696"/>
      <c r="BI11" s="696"/>
      <c r="BJ11" s="696"/>
      <c r="BK11" s="696"/>
      <c r="BL11" s="696"/>
      <c r="BM11" s="696"/>
      <c r="BZ11" s="1181">
        <f>Datos!EZ11</f>
        <v>0</v>
      </c>
    </row>
    <row r="12" spans="1:78" ht="15.75" thickBot="1">
      <c r="A12" s="500">
        <f>Datos!AO12</f>
        <v>3</v>
      </c>
      <c r="B12" s="506" t="s">
        <v>247</v>
      </c>
      <c r="C12" s="7" t="str">
        <f>Datos!A12</f>
        <v xml:space="preserve">Sección Civil y de Inst. TI                      </v>
      </c>
      <c r="D12" s="507"/>
      <c r="E12" s="679">
        <f>IF(ISNUMBER(Datos!AQ12),Datos!AQ12," - ")</f>
        <v>3</v>
      </c>
      <c r="F12" s="680" t="str">
        <f>IF(ISNUMBER(AF12+AB12-Datos!DC12),AF12+AB12-Datos!DC12," - ")</f>
        <v xml:space="preserve"> - </v>
      </c>
      <c r="G12" s="681" t="str">
        <f>IF(ISNUMBER(IF(J_V="SI",Datos!I12,Datos!I12+Datos!Y12)-IF(Monitorios="SI",Datos!CA12,0)),
                          IF(J_V="SI",Datos!I12,Datos!I12+Datos!Y12)-IF(Monitorios="SI",Datos!CA12,0),
                          " - ")</f>
        <v xml:space="preserve"> - </v>
      </c>
      <c r="H12" s="680" t="str">
        <f>IF(ISNUMBER(Datos!DC12),Datos!DC12," - ")</f>
        <v xml:space="preserve"> - </v>
      </c>
      <c r="I12" s="682" t="str">
        <f>IF(ISNUMBER(DatosP!DC17),DatosP!DC17," - ")</f>
        <v xml:space="preserve"> - </v>
      </c>
      <c r="J12" s="682">
        <f>IF(ISNUMBER(Datos!DF12),Datos!DF12,0)</f>
        <v>0</v>
      </c>
      <c r="K12" s="682">
        <f>IF(ISNUMBER(DatosP!DF17),DatosP!DF17,0)</f>
        <v>0</v>
      </c>
      <c r="L12" s="679"/>
      <c r="M12" s="679"/>
      <c r="N12" s="682">
        <f>IF(ISNUMBER(Datos!P12),Datos!P12,0)</f>
        <v>230</v>
      </c>
      <c r="O12" s="682">
        <f>IF(ISNUMBER(DatosP!P17),DatosP!P17,0)</f>
        <v>0</v>
      </c>
      <c r="P12" s="682" t="str">
        <f>IF(ISNUMBER(DatosP!DE17),DatosP!DE17," - ")</f>
        <v xml:space="preserve"> - </v>
      </c>
      <c r="Q12" s="683"/>
      <c r="R12" s="683"/>
      <c r="S12" s="682" t="str">
        <f>IF(ISNUMBER(Datos!AS12*(2500/380)+DatosP!AS17),Datos!AS12*(2500/380)+DatosP!AS17," - ")</f>
        <v xml:space="preserve"> - </v>
      </c>
      <c r="T12" s="682">
        <f>IF(ISNUMBER(DatosP!AS17/E12),DatosP!AS17/E12," - ")</f>
        <v>0</v>
      </c>
      <c r="U12" s="684" t="str">
        <f>IF(ISNUMBER(S12/((2*DatosP!BM17)/factor_trimestre)),S12/((2*DatosP!BM17)/factor_trimestre)," - ")</f>
        <v xml:space="preserve"> - </v>
      </c>
      <c r="V12" s="684" t="str">
        <f>IF(ISNUMBER(T12/(DatosP!BM17/factor_trimestre)),T12/(DatosP!BM17/factor_trimestre)," - ")</f>
        <v xml:space="preserve"> - </v>
      </c>
      <c r="W12" s="682" t="str">
        <f>IF(ISNUMBER(Datos!EO12*DatosP!ER17/Datos!ER12+DatosP!EO17),Datos!EO12*DatosP!ER17/Datos!ER12+DatosP!EO17," - ")</f>
        <v xml:space="preserve"> - </v>
      </c>
      <c r="X12" s="1013" t="str">
        <f>IF(ISNUMBER((W12/(2000))*factor_trimestre),(W12/(2000))*factor_trimestre," - ")</f>
        <v xml:space="preserve"> - </v>
      </c>
      <c r="Y12" s="781" t="str">
        <f>IF(ISNUMBER(Datos!CB12),Datos!CB12," - ")</f>
        <v xml:space="preserve"> - </v>
      </c>
      <c r="Z12" s="680">
        <f>IF(ISNUMBER(Datos!BY12+DatosP!BY17),Datos!BY12+DatosP!BY17," - ")</f>
        <v>0</v>
      </c>
      <c r="AA12" s="722">
        <f>IF(ISNUMBER((Z12*factor_trimestre)/((Datos!CN12+DatosP!CN17)/2)),(Z12*factor_trimestre)/((Datos!CN12+DatosP!CN17)/2),"-")</f>
        <v>0</v>
      </c>
      <c r="AB12" s="680" t="str">
        <f>IF(ISNUMBER(IF(J_V="SI",Datos!K12,Datos!K12+Datos!AA12)-IF(Monitorios="SI",Datos!CC12,0)),
                          IF(J_V="SI",Datos!K12,Datos!K12+Datos!AA12)-IF(Monitorios="SI",Datos!CC12,0),
                          " - ")</f>
        <v xml:space="preserve"> - </v>
      </c>
      <c r="AC12" s="680" t="str">
        <f>IF(ISNUMBER(IF(D_I="SI",DatosP!K17,DatosP!K17+DatosP!AE17)),IF(D_I="SI",DatosP!K17,DatosP!K17+DatosP!AE17)," - ")</f>
        <v xml:space="preserve"> - </v>
      </c>
      <c r="AD12" s="682">
        <f>IF(ISNUMBER(Datos!Q12),Datos!Q12," - ")</f>
        <v>279</v>
      </c>
      <c r="AE12" s="682" t="str">
        <f>IF(ISNUMBER(DatosP!Q17),DatosP!Q17," - ")</f>
        <v xml:space="preserve"> - </v>
      </c>
      <c r="AF12" s="685" t="str">
        <f>IF(ISNUMBER(IF(J_V="SI",Datos!L12,Datos!L12+Datos!AB12)-IF(Monitorios="SI",Datos!CD12,0)),
                          IF(J_V="SI",Datos!L12,Datos!L12+Datos!AB12)-IF(Monitorios="SI",Datos!CD12,0),
                          " - ")</f>
        <v xml:space="preserve"> - </v>
      </c>
      <c r="AG12" s="685" t="str">
        <f>IF(ISNUMBER(IF(D_I="SI",DatosP!L17,DatosP!L17+DatosP!AF17)),IF(D_I="SI",DatosP!L17,DatosP!L17+DatosP!AF17)," - ")</f>
        <v xml:space="preserve"> - </v>
      </c>
      <c r="AH12" s="686">
        <f>IF(ISNUMBER(Datos!R12),Datos!R12," - ")</f>
        <v>2852</v>
      </c>
      <c r="AI12" s="686" t="str">
        <f>IF(ISNUMBER(DatosP!R17),DatosP!R17," - ")</f>
        <v xml:space="preserve"> - </v>
      </c>
      <c r="AJ12" s="679">
        <f>IF(ISNUMBER(Datos!BV12+DatosP!BV17),Datos!BV12+DatosP!BV17," - ")</f>
        <v>0</v>
      </c>
      <c r="AK12" s="669" t="str">
        <f>IF(ISNUMBER(Datos!DV12),Datos!DV12," - ")</f>
        <v xml:space="preserve"> - </v>
      </c>
      <c r="AL12" s="680">
        <f>IF(ISNUMBER(Datos!M12+DatosP!M17),Datos!M12+DatosP!M17," - ")</f>
        <v>243</v>
      </c>
      <c r="AM12" s="687">
        <f>IF(ISNUMBER(Datos!N12+DatosP!N17),Datos!N12+DatosP!N17," - ")</f>
        <v>200</v>
      </c>
      <c r="AN12" s="687">
        <f>IF(ISNUMBER(Datos!BW12+DatosP!BW17),Datos!BW12+DatosP!BW17," - ")</f>
        <v>0</v>
      </c>
      <c r="AO12" s="688">
        <f>IF(ISNUMBER(Datos!BX12+DatosP!BX17),Datos!BX12+DatosP!BX17," - ")</f>
        <v>0</v>
      </c>
      <c r="AP12" s="690">
        <f>IF(ISNUMBER(((IF(J_V="SI",Datos!L12/Datos!K12,(Datos!L12+Datos!AB12)/(Datos!K12+Datos!AA12)))*11)/factor_trimestre),((IF(J_V="SI",Datos!L12/Datos!K12,(Datos!L12+Datos!AB12)/(Datos!K12+Datos!AA12)))*11)/factor_trimestre," - ")</f>
        <v>7.8815165876777247</v>
      </c>
      <c r="AQ12" s="690" t="str">
        <f>IF(ISNUMBER(((IF(D_I="SI",DatosP!L17/DatosP!K17,(DatosP!L17+DatosP!AF17)/(DatosP!K17+DatosP!AE17)))*11)/factor_trimestre),((IF(D_I="SI",DatosP!L17/DatosP!K17,(DatosP!L17+DatosP!AF17)/(DatosP!K17+DatosP!AE17)))*11)/factor_trimestre," - ")</f>
        <v xml:space="preserve"> - </v>
      </c>
      <c r="AR12" s="691" t="str">
        <f>IF(ISNUMBER(Datos!CI12/Datos!CJ12),Datos!CI12/Datos!CJ12," - ")</f>
        <v xml:space="preserve"> - </v>
      </c>
      <c r="AS12" s="691" t="str">
        <f>IF(ISNUMBER(DatosP!CI17/DatosP!CJ17),DatosP!CI17/DatosP!CJ17," - ")</f>
        <v xml:space="preserve"> - </v>
      </c>
      <c r="AT12" s="691" t="str">
        <f>IF(ISNUMBER(((BC12-AB12+J12)/(F12-J12))),(BC12-AB12+J12)/(F12-J12)," - ")</f>
        <v xml:space="preserve"> - </v>
      </c>
      <c r="AU12" s="691" t="str">
        <f>IF(ISNUMBER((DatosP!DC17-DatosP!K17+DatosP!DF17)/(DatosP!L17+DatosP!K17-DatosP!J17-DatosP!DF17)),(DatosP!DC17-DatosP!K17+DatosP!DF17)/(DatosP!L17+DatosP!K17-DatosP!J17-DatosP!DF17)," - ")</f>
        <v xml:space="preserve"> - </v>
      </c>
      <c r="AV12" s="692">
        <f>IF(ISNUMBER((Datos!P12-Datos!Q12+Datos!DE12)/(Datos!R12-Datos!P12+Datos!Q12-Datos!DE12)),(Datos!P12-Datos!Q12+Datos!DE12)/(Datos!R12-Datos!P12+Datos!Q12-Datos!DE12)," - ")</f>
        <v>-1.6890727335401586E-2</v>
      </c>
      <c r="AW12" s="692" t="str">
        <f>IF(ISNUMBER((DatosP!P17-DatosP!Q17+DatosP!DE17)/(DatosP!R17-DatosP!P17+DatosP!Q17-DatosP!DE17)),(DatosP!P17-DatosP!Q17+DatosP!DE17)/(DatosP!R17-DatosP!P17+DatosP!Q17-DatosP!DE17)," - ")</f>
        <v xml:space="preserve"> - </v>
      </c>
      <c r="AX12" s="694">
        <f>IF(ISNUMBER(Datos!EV12+DatosP!EV17),Datos!EV12+DatosP!EV17," - ")</f>
        <v>0</v>
      </c>
      <c r="AY12" s="694">
        <f>IF(ISNUMBER(Datos!CW12+DatosP!CW17),Datos!CW12+DatosP!CW17," - ")</f>
        <v>0</v>
      </c>
      <c r="AZ12" s="694">
        <f>Datos!CX12</f>
        <v>0</v>
      </c>
      <c r="BA12" s="694">
        <f>DatosP!CX17</f>
        <v>0</v>
      </c>
      <c r="BB12" s="695">
        <f>Datos!DU12</f>
        <v>0</v>
      </c>
      <c r="BC12" s="225" t="str">
        <f>IF(ISNUMBER(Datos!DC12),Datos!DC12," - ")</f>
        <v xml:space="preserve"> - </v>
      </c>
      <c r="BD12" s="225" t="str">
        <f>IF(ISNUMBER(DatosP!DC17),DatosP!DC17," - ")</f>
        <v xml:space="preserve"> - </v>
      </c>
      <c r="BE12" s="680" t="str">
        <f>IF(ISNUMBER(AG12+AC12-DatosP!J17),AG12+AC12-DatosP!J17," - ")</f>
        <v xml:space="preserve"> - </v>
      </c>
      <c r="BF12" s="696"/>
      <c r="BG12" s="696"/>
      <c r="BH12" s="696"/>
      <c r="BI12" s="696"/>
      <c r="BJ12" s="696"/>
      <c r="BK12" s="696"/>
      <c r="BL12" s="696"/>
      <c r="BM12" s="696"/>
      <c r="BZ12" s="1181">
        <f>Datos!EZ12</f>
        <v>0</v>
      </c>
    </row>
    <row r="13" spans="1:78" ht="15.75" thickTop="1" thickBot="1">
      <c r="A13" s="698"/>
      <c r="B13" s="698"/>
      <c r="C13" s="931" t="str">
        <f>Datos!A13</f>
        <v>TOTAL</v>
      </c>
      <c r="D13" s="932"/>
      <c r="E13" s="932">
        <f t="shared" ref="E13:V13" si="0">SUBTOTAL(9,E8:E12)</f>
        <v>3</v>
      </c>
      <c r="F13" s="933">
        <f t="shared" si="0"/>
        <v>0</v>
      </c>
      <c r="G13" s="933">
        <f t="shared" si="0"/>
        <v>0</v>
      </c>
      <c r="H13" s="933">
        <f t="shared" si="0"/>
        <v>0</v>
      </c>
      <c r="I13" s="935">
        <f t="shared" si="0"/>
        <v>0</v>
      </c>
      <c r="J13" s="934">
        <f t="shared" si="0"/>
        <v>0</v>
      </c>
      <c r="K13" s="934">
        <f t="shared" si="0"/>
        <v>0</v>
      </c>
      <c r="L13" s="936">
        <f t="shared" si="0"/>
        <v>0</v>
      </c>
      <c r="M13" s="936">
        <f t="shared" si="0"/>
        <v>0</v>
      </c>
      <c r="N13" s="934">
        <f t="shared" si="0"/>
        <v>230</v>
      </c>
      <c r="O13" s="934">
        <f t="shared" si="0"/>
        <v>0</v>
      </c>
      <c r="P13" s="934">
        <f t="shared" si="0"/>
        <v>0</v>
      </c>
      <c r="Q13" s="937">
        <f t="shared" si="0"/>
        <v>0</v>
      </c>
      <c r="R13" s="937">
        <f t="shared" si="0"/>
        <v>0</v>
      </c>
      <c r="S13" s="934">
        <f t="shared" si="0"/>
        <v>0</v>
      </c>
      <c r="T13" s="934">
        <f t="shared" si="0"/>
        <v>0</v>
      </c>
      <c r="U13" s="937">
        <f t="shared" si="0"/>
        <v>0</v>
      </c>
      <c r="V13" s="937">
        <f t="shared" si="0"/>
        <v>0</v>
      </c>
      <c r="W13" s="1010">
        <v>0</v>
      </c>
      <c r="X13" s="1015">
        <v>0</v>
      </c>
      <c r="Y13" s="936">
        <f>SUBTOTAL(9,Y8:Y12)</f>
        <v>0</v>
      </c>
      <c r="Z13" s="934">
        <f>SUBTOTAL(9,Z8:Z12)</f>
        <v>0</v>
      </c>
      <c r="AA13" s="938">
        <f>IF(ISNUMBER(AVERAGE(AA8:AA12)),AVERAGE(AA8:AA12),"-")</f>
        <v>0</v>
      </c>
      <c r="AB13" s="934">
        <f t="shared" ref="AB13:AO13" si="1">SUBTOTAL(9,AB8:AB12)</f>
        <v>0</v>
      </c>
      <c r="AC13" s="934">
        <f t="shared" si="1"/>
        <v>0</v>
      </c>
      <c r="AD13" s="934">
        <f t="shared" si="1"/>
        <v>279</v>
      </c>
      <c r="AE13" s="934">
        <f t="shared" si="1"/>
        <v>0</v>
      </c>
      <c r="AF13" s="934">
        <f t="shared" si="1"/>
        <v>0</v>
      </c>
      <c r="AG13" s="934">
        <f t="shared" si="1"/>
        <v>0</v>
      </c>
      <c r="AH13" s="934">
        <f t="shared" si="1"/>
        <v>2852</v>
      </c>
      <c r="AI13" s="934">
        <f t="shared" si="1"/>
        <v>0</v>
      </c>
      <c r="AJ13" s="934">
        <f t="shared" si="1"/>
        <v>0</v>
      </c>
      <c r="AK13" s="934">
        <f t="shared" si="1"/>
        <v>0</v>
      </c>
      <c r="AL13" s="934">
        <f t="shared" si="1"/>
        <v>243</v>
      </c>
      <c r="AM13" s="934">
        <f t="shared" si="1"/>
        <v>200</v>
      </c>
      <c r="AN13" s="934">
        <f t="shared" si="1"/>
        <v>0</v>
      </c>
      <c r="AO13" s="934">
        <f t="shared" si="1"/>
        <v>0</v>
      </c>
      <c r="AP13" s="939">
        <f>IF(ISNUMBER(((Datos!L13/Datos!K13)*11)/factor_trimestre),((Datos!L13/Datos!K13)*11)/factor_trimestre," - ")</f>
        <v>8.127272727272727</v>
      </c>
      <c r="AQ13" s="939" t="str">
        <f>IF(ISNUMBER(((DatosP!L13/DatosP!K13)*11)/factor_trimestre),((DatosP!L13/DatosP!K13)*11)/factor_trimestre," - ")</f>
        <v xml:space="preserve"> - </v>
      </c>
      <c r="AR13" s="934" t="str">
        <f>IF(ISNUMBER(Datos!CI13/Datos!CJ13),Datos!CI13/Datos!CJ13," - ")</f>
        <v xml:space="preserve"> - </v>
      </c>
      <c r="AS13" s="934" t="str">
        <f>IF(ISNUMBER(DatosP!CJ13/DatosP!CK13),DatosP!CJ13/DatosP!CK13," - ")</f>
        <v xml:space="preserve"> - </v>
      </c>
      <c r="AT13" s="934" t="e">
        <f>IF(OR(ISNUMBER(FIND("04",Criterios!A8,1))),(BC13-AB13+J13)/(F13-J13),(H13-AB13+J13)/(F13-J13))</f>
        <v>#DIV/0!</v>
      </c>
      <c r="AU13" s="934" t="str">
        <f>IF(ISNUMBER((DatosP!#REF!-DatosP!#REF!+DatosP!#REF!)/(DatosP!#REF!+DatosP!#REF!-DatosP!#REF!-DatosP!#REF!)),(DatosP!#REF!-DatosP!#REF!+DatosP!#REF!)/(DatosP!#REF!+DatosP!#REF!-DatosP!#REF!-DatosP!#REF!)," - ")</f>
        <v xml:space="preserve"> - </v>
      </c>
      <c r="AV13" s="940">
        <f>SUBTOTAL(9,AV9:AV12)</f>
        <v>-1.6890727335401586E-2</v>
      </c>
      <c r="AW13" s="940">
        <f>SUBTOTAL(9,AW9:AW12)</f>
        <v>0</v>
      </c>
      <c r="AX13" s="934">
        <f>SUBTOTAL(9,AX8:AX12)</f>
        <v>0</v>
      </c>
      <c r="AY13" s="934">
        <f>SUBTOTAL(9,AY8:AY12)</f>
        <v>0</v>
      </c>
      <c r="AZ13" s="934"/>
      <c r="BA13" s="934"/>
      <c r="BB13" s="934"/>
      <c r="BC13" s="232">
        <f>SUBTOTAL(9,BC8:BC12)</f>
        <v>0</v>
      </c>
      <c r="BD13" s="232">
        <f>SUBTOTAL(9,BD8:BD12)</f>
        <v>0</v>
      </c>
      <c r="BE13" s="699">
        <f>SUBTOTAL(9,BE8:BE12)</f>
        <v>0</v>
      </c>
      <c r="BF13" s="700"/>
      <c r="BG13" s="700"/>
      <c r="BH13" s="700"/>
      <c r="BI13" s="700"/>
      <c r="BJ13" s="700"/>
      <c r="BK13" s="700"/>
      <c r="BL13" s="700"/>
      <c r="BM13" s="700"/>
      <c r="BZ13" s="1181"/>
    </row>
    <row r="14" spans="1:78" ht="15" thickTop="1">
      <c r="A14" s="509"/>
      <c r="B14" s="509"/>
      <c r="C14" s="285" t="str">
        <f>Datos!A14</f>
        <v xml:space="preserve">Jurisdicción Penal ( 2 ):                      </v>
      </c>
      <c r="D14" s="510"/>
      <c r="E14" s="701"/>
      <c r="F14" s="702"/>
      <c r="G14" s="702"/>
      <c r="H14" s="704"/>
      <c r="I14" s="662"/>
      <c r="J14" s="703"/>
      <c r="K14" s="703"/>
      <c r="L14" s="703"/>
      <c r="M14" s="703"/>
      <c r="N14" s="682"/>
      <c r="O14" s="682"/>
      <c r="P14" s="682"/>
      <c r="Q14" s="705"/>
      <c r="R14" s="705"/>
      <c r="S14" s="682"/>
      <c r="T14" s="682"/>
      <c r="U14" s="697"/>
      <c r="V14" s="697"/>
      <c r="W14" s="682"/>
      <c r="X14" s="1014"/>
      <c r="Y14" s="777"/>
      <c r="Z14" s="680"/>
      <c r="AA14" s="706"/>
      <c r="AB14" s="680"/>
      <c r="AC14" s="680"/>
      <c r="AD14" s="682"/>
      <c r="AE14" s="682"/>
      <c r="AF14" s="704"/>
      <c r="AG14" s="704"/>
      <c r="AH14" s="686"/>
      <c r="AI14" s="686"/>
      <c r="AJ14" s="679"/>
      <c r="AK14" s="669"/>
      <c r="AL14" s="680"/>
      <c r="AM14" s="687"/>
      <c r="AN14" s="687"/>
      <c r="AO14" s="688"/>
      <c r="AP14" s="690"/>
      <c r="AQ14" s="690"/>
      <c r="AR14" s="691"/>
      <c r="AS14" s="691"/>
      <c r="AT14" s="691"/>
      <c r="AU14" s="691"/>
      <c r="AV14" s="707"/>
      <c r="AW14" s="707"/>
      <c r="AX14" s="694"/>
      <c r="AY14" s="694"/>
      <c r="AZ14" s="694"/>
      <c r="BA14" s="694"/>
      <c r="BB14" s="695"/>
      <c r="BC14" s="216"/>
      <c r="BD14" s="216"/>
      <c r="BE14" s="702"/>
      <c r="BF14" s="709"/>
      <c r="BG14" s="709"/>
      <c r="BH14" s="709"/>
      <c r="BI14" s="709"/>
      <c r="BJ14" s="709"/>
      <c r="BK14" s="709"/>
      <c r="BL14" s="709"/>
      <c r="BM14" s="709"/>
      <c r="BZ14" s="1181">
        <f>Datos!EZ14</f>
        <v>0</v>
      </c>
    </row>
    <row r="15" spans="1:78" s="718" customFormat="1" ht="14.25">
      <c r="A15" s="592">
        <f>Datos!AO15</f>
        <v>0</v>
      </c>
      <c r="B15" s="593" t="s">
        <v>397</v>
      </c>
      <c r="C15" s="598" t="str">
        <f>Datos!A15</f>
        <v xml:space="preserve">Seccion Instruccion Del T.I.                   </v>
      </c>
      <c r="D15" s="599"/>
      <c r="E15" s="710"/>
      <c r="F15" s="711"/>
      <c r="G15" s="712"/>
      <c r="H15" s="711"/>
      <c r="I15" s="682"/>
      <c r="J15" s="713"/>
      <c r="K15" s="713"/>
      <c r="L15" s="714"/>
      <c r="M15" s="714"/>
      <c r="N15" s="682"/>
      <c r="O15" s="682"/>
      <c r="P15" s="682"/>
      <c r="Q15" s="715"/>
      <c r="R15" s="715"/>
      <c r="S15" s="682"/>
      <c r="T15" s="682"/>
      <c r="U15" s="697"/>
      <c r="V15" s="697"/>
      <c r="W15" s="682"/>
      <c r="X15" s="1014"/>
      <c r="Y15" s="782"/>
      <c r="Z15" s="680"/>
      <c r="AA15" s="706"/>
      <c r="AB15" s="680"/>
      <c r="AC15" s="680"/>
      <c r="AD15" s="682"/>
      <c r="AE15" s="682"/>
      <c r="AF15" s="716"/>
      <c r="AG15" s="716"/>
      <c r="AH15" s="686"/>
      <c r="AI15" s="686"/>
      <c r="AJ15" s="679"/>
      <c r="AK15" s="669"/>
      <c r="AL15" s="680"/>
      <c r="AM15" s="687"/>
      <c r="AN15" s="687"/>
      <c r="AO15" s="688"/>
      <c r="AP15" s="690"/>
      <c r="AQ15" s="690"/>
      <c r="AR15" s="691"/>
      <c r="AS15" s="691"/>
      <c r="AT15" s="691"/>
      <c r="AU15" s="691"/>
      <c r="AV15" s="707"/>
      <c r="AW15" s="707"/>
      <c r="AX15" s="694"/>
      <c r="AY15" s="694"/>
      <c r="AZ15" s="694"/>
      <c r="BA15" s="694"/>
      <c r="BB15" s="695"/>
      <c r="BC15" s="225"/>
      <c r="BD15" s="225"/>
      <c r="BE15" s="711"/>
      <c r="BF15" s="719"/>
      <c r="BG15" s="719"/>
      <c r="BH15" s="719"/>
      <c r="BI15" s="719"/>
      <c r="BJ15" s="719"/>
      <c r="BK15" s="719"/>
      <c r="BL15" s="719"/>
      <c r="BM15" s="719"/>
      <c r="BZ15" s="1181">
        <f>Datos!EZ15</f>
        <v>0</v>
      </c>
    </row>
    <row r="16" spans="1:78" s="718" customFormat="1" ht="14.25">
      <c r="A16" s="1330">
        <f>Datos!AO16</f>
        <v>0</v>
      </c>
      <c r="B16" s="1331" t="s">
        <v>397</v>
      </c>
      <c r="C16" s="1337" t="str">
        <f>Datos!A16</f>
        <v>Seccion Violencia contra la inf y adol.</v>
      </c>
      <c r="D16" s="1338"/>
      <c r="E16" s="710"/>
      <c r="F16" s="711"/>
      <c r="G16" s="712"/>
      <c r="H16" s="711"/>
      <c r="I16" s="682"/>
      <c r="J16" s="713"/>
      <c r="K16" s="713"/>
      <c r="L16" s="714"/>
      <c r="M16" s="714"/>
      <c r="N16" s="682"/>
      <c r="O16" s="682"/>
      <c r="P16" s="682"/>
      <c r="Q16" s="715"/>
      <c r="R16" s="715"/>
      <c r="S16" s="682"/>
      <c r="T16" s="682"/>
      <c r="U16" s="697"/>
      <c r="V16" s="697"/>
      <c r="W16" s="682"/>
      <c r="X16" s="1014"/>
      <c r="Y16" s="782"/>
      <c r="Z16" s="680"/>
      <c r="AA16" s="706"/>
      <c r="AB16" s="680"/>
      <c r="AC16" s="680"/>
      <c r="AD16" s="682"/>
      <c r="AE16" s="682"/>
      <c r="AF16" s="716"/>
      <c r="AG16" s="716"/>
      <c r="AH16" s="686"/>
      <c r="AI16" s="686"/>
      <c r="AJ16" s="679"/>
      <c r="AK16" s="669"/>
      <c r="AL16" s="680"/>
      <c r="AM16" s="687"/>
      <c r="AN16" s="687"/>
      <c r="AO16" s="688"/>
      <c r="AP16" s="690"/>
      <c r="AQ16" s="690"/>
      <c r="AR16" s="691"/>
      <c r="AS16" s="691"/>
      <c r="AT16" s="691"/>
      <c r="AU16" s="691"/>
      <c r="AV16" s="707"/>
      <c r="AW16" s="707"/>
      <c r="AX16" s="694"/>
      <c r="AY16" s="694"/>
      <c r="AZ16" s="694"/>
      <c r="BA16" s="694"/>
      <c r="BB16" s="695"/>
      <c r="BC16" s="1215"/>
      <c r="BD16" s="1215"/>
      <c r="BE16" s="711"/>
      <c r="BF16" s="719"/>
      <c r="BG16" s="719"/>
      <c r="BH16" s="719"/>
      <c r="BI16" s="719"/>
      <c r="BJ16" s="719"/>
      <c r="BK16" s="719"/>
      <c r="BL16" s="719"/>
      <c r="BM16" s="719"/>
      <c r="BZ16" s="1421">
        <f>Datos!EZ16</f>
        <v>0</v>
      </c>
    </row>
    <row r="17" spans="1:78" ht="15">
      <c r="A17" s="500">
        <f>Datos!AO17</f>
        <v>3</v>
      </c>
      <c r="B17" s="506" t="s">
        <v>397</v>
      </c>
      <c r="C17" s="159" t="str">
        <f>Datos!A17</f>
        <v xml:space="preserve">Sección Civil y de Inst. TI                      </v>
      </c>
      <c r="D17" s="501"/>
      <c r="E17" s="694"/>
      <c r="F17" s="680"/>
      <c r="G17" s="681"/>
      <c r="H17" s="680"/>
      <c r="I17" s="682"/>
      <c r="J17" s="682"/>
      <c r="K17" s="682"/>
      <c r="L17" s="679"/>
      <c r="M17" s="679"/>
      <c r="N17" s="682"/>
      <c r="O17" s="682"/>
      <c r="P17" s="682"/>
      <c r="Q17" s="683"/>
      <c r="R17" s="683"/>
      <c r="S17" s="682" t="str">
        <f>IF(ISNUMBER(Datos!AS17*(2500/380)+DatosP!#REF!),Datos!AS17*(2500/380)+DatosP!#REF!," - ")</f>
        <v xml:space="preserve"> - </v>
      </c>
      <c r="T17" s="682"/>
      <c r="U17" s="684" t="str">
        <f>IF(ISNUMBER(S17/((Datos!BM17+DatosP!#REF!)/factor_trimestre)),S17/((Datos!BM17+DatosP!#REF!)/factor_trimestre)," - ")</f>
        <v xml:space="preserve"> - </v>
      </c>
      <c r="V17" s="684"/>
      <c r="W17" s="682"/>
      <c r="X17" s="1013"/>
      <c r="Y17" s="780"/>
      <c r="Z17" s="680"/>
      <c r="AA17" s="722"/>
      <c r="AB17" s="680"/>
      <c r="AC17" s="680"/>
      <c r="AD17" s="682"/>
      <c r="AE17" s="682"/>
      <c r="AF17" s="685"/>
      <c r="AG17" s="685"/>
      <c r="AH17" s="686"/>
      <c r="AI17" s="686"/>
      <c r="AJ17" s="679"/>
      <c r="AK17" s="669"/>
      <c r="AL17" s="680"/>
      <c r="AM17" s="687"/>
      <c r="AN17" s="687"/>
      <c r="AO17" s="688"/>
      <c r="AP17" s="690"/>
      <c r="AQ17" s="690"/>
      <c r="AR17" s="691"/>
      <c r="AS17" s="691"/>
      <c r="AT17" s="691"/>
      <c r="AU17" s="691"/>
      <c r="AV17" s="692"/>
      <c r="AW17" s="692"/>
      <c r="AX17" s="694"/>
      <c r="AY17" s="694"/>
      <c r="AZ17" s="694"/>
      <c r="BA17" s="694"/>
      <c r="BB17" s="695"/>
      <c r="BC17" s="225"/>
      <c r="BD17" s="225"/>
      <c r="BE17" s="680"/>
      <c r="BF17" s="696"/>
      <c r="BG17" s="696"/>
      <c r="BH17" s="696"/>
      <c r="BI17" s="696"/>
      <c r="BJ17" s="696"/>
      <c r="BK17" s="696"/>
      <c r="BL17" s="696"/>
      <c r="BM17" s="696"/>
      <c r="BZ17" s="1181">
        <f>Datos!EZ17</f>
        <v>0</v>
      </c>
    </row>
    <row r="18" spans="1:78" ht="15" thickBot="1">
      <c r="A18" s="500">
        <f>Datos!AO18</f>
        <v>1</v>
      </c>
      <c r="B18" s="506" t="s">
        <v>397</v>
      </c>
      <c r="C18" s="7" t="str">
        <f>Datos!A18</f>
        <v>Sección De Violencia sobre la Mujer del TI</v>
      </c>
      <c r="D18" s="507"/>
      <c r="E18" s="694"/>
      <c r="F18" s="680"/>
      <c r="G18" s="681"/>
      <c r="H18" s="680"/>
      <c r="I18" s="682"/>
      <c r="J18" s="682"/>
      <c r="K18" s="682"/>
      <c r="L18" s="679"/>
      <c r="M18" s="679"/>
      <c r="N18" s="682"/>
      <c r="O18" s="682"/>
      <c r="P18" s="682"/>
      <c r="Q18" s="683"/>
      <c r="R18" s="683"/>
      <c r="S18" s="682"/>
      <c r="T18" s="682"/>
      <c r="U18" s="684"/>
      <c r="V18" s="684"/>
      <c r="W18" s="682"/>
      <c r="X18" s="1013"/>
      <c r="Y18" s="780"/>
      <c r="Z18" s="680"/>
      <c r="AA18" s="722"/>
      <c r="AB18" s="680"/>
      <c r="AC18" s="680"/>
      <c r="AD18" s="682"/>
      <c r="AE18" s="682"/>
      <c r="AF18" s="685"/>
      <c r="AG18" s="685"/>
      <c r="AH18" s="686"/>
      <c r="AI18" s="686"/>
      <c r="AJ18" s="679"/>
      <c r="AK18" s="669"/>
      <c r="AL18" s="680"/>
      <c r="AM18" s="687"/>
      <c r="AN18" s="687"/>
      <c r="AO18" s="688"/>
      <c r="AP18" s="690"/>
      <c r="AQ18" s="690"/>
      <c r="AR18" s="691"/>
      <c r="AS18" s="691"/>
      <c r="AT18" s="691"/>
      <c r="AU18" s="691"/>
      <c r="AV18" s="692"/>
      <c r="AW18" s="692"/>
      <c r="AX18" s="694"/>
      <c r="AY18" s="694"/>
      <c r="AZ18" s="694"/>
      <c r="BA18" s="694"/>
      <c r="BB18" s="695"/>
      <c r="BC18" s="225"/>
      <c r="BD18" s="225"/>
      <c r="BE18" s="680"/>
      <c r="BF18" s="696"/>
      <c r="BG18" s="696"/>
      <c r="BH18" s="696"/>
      <c r="BI18" s="696"/>
      <c r="BJ18" s="696"/>
      <c r="BK18" s="696"/>
      <c r="BL18" s="696"/>
      <c r="BM18" s="696"/>
      <c r="BZ18" s="1181">
        <f>Datos!EZ18</f>
        <v>0</v>
      </c>
    </row>
    <row r="19" spans="1:78" ht="15.75" thickTop="1" thickBot="1">
      <c r="A19" s="698"/>
      <c r="B19" s="698"/>
      <c r="C19" s="931" t="str">
        <f>Datos!A19</f>
        <v>TOTAL</v>
      </c>
      <c r="D19" s="932"/>
      <c r="E19" s="932">
        <f>SUBTOTAL(9,E15:E18)</f>
        <v>0</v>
      </c>
      <c r="F19" s="933">
        <f>SUBTOTAL(9,F15:F18)</f>
        <v>0</v>
      </c>
      <c r="G19" s="933">
        <f>SUBTOTAL(9,G15:G18)</f>
        <v>0</v>
      </c>
      <c r="H19" s="933">
        <f>SUBTOTAL(9,H15:H18)</f>
        <v>0</v>
      </c>
      <c r="I19" s="935">
        <f>SUBTOTAL(9,I14:I18)</f>
        <v>0</v>
      </c>
      <c r="J19" s="934">
        <f t="shared" ref="J19:V19" si="2">SUBTOTAL(9,J15:J18)</f>
        <v>0</v>
      </c>
      <c r="K19" s="934">
        <f t="shared" si="2"/>
        <v>0</v>
      </c>
      <c r="L19" s="936">
        <f t="shared" si="2"/>
        <v>0</v>
      </c>
      <c r="M19" s="936">
        <f t="shared" si="2"/>
        <v>0</v>
      </c>
      <c r="N19" s="934">
        <f t="shared" si="2"/>
        <v>0</v>
      </c>
      <c r="O19" s="934">
        <f t="shared" si="2"/>
        <v>0</v>
      </c>
      <c r="P19" s="934">
        <f t="shared" si="2"/>
        <v>0</v>
      </c>
      <c r="Q19" s="937">
        <f t="shared" si="2"/>
        <v>0</v>
      </c>
      <c r="R19" s="937">
        <f t="shared" si="2"/>
        <v>0</v>
      </c>
      <c r="S19" s="934">
        <f t="shared" si="2"/>
        <v>0</v>
      </c>
      <c r="T19" s="934">
        <f t="shared" si="2"/>
        <v>0</v>
      </c>
      <c r="U19" s="937">
        <f t="shared" si="2"/>
        <v>0</v>
      </c>
      <c r="V19" s="937">
        <f t="shared" si="2"/>
        <v>0</v>
      </c>
      <c r="W19" s="1010">
        <v>0</v>
      </c>
      <c r="X19" s="1015">
        <v>0</v>
      </c>
      <c r="Y19" s="936">
        <f>SUBTOTAL(9,Y15:Y18)</f>
        <v>0</v>
      </c>
      <c r="Z19" s="934">
        <f>SUBTOTAL(9,Z15:Z18)</f>
        <v>0</v>
      </c>
      <c r="AA19" s="938" t="str">
        <f>IF(ISNUMBER((Z19*factor_trimestre)/Datos!CN19),(Z19*factor_trimestre)/Datos!CN19,"-")</f>
        <v>-</v>
      </c>
      <c r="AB19" s="934">
        <f t="shared" ref="AB19:AO19" si="3">SUBTOTAL(9,AB15:AB18)</f>
        <v>0</v>
      </c>
      <c r="AC19" s="934">
        <f t="shared" si="3"/>
        <v>0</v>
      </c>
      <c r="AD19" s="934">
        <f t="shared" si="3"/>
        <v>0</v>
      </c>
      <c r="AE19" s="934">
        <f t="shared" si="3"/>
        <v>0</v>
      </c>
      <c r="AF19" s="934">
        <f t="shared" si="3"/>
        <v>0</v>
      </c>
      <c r="AG19" s="934">
        <f t="shared" si="3"/>
        <v>0</v>
      </c>
      <c r="AH19" s="934">
        <f t="shared" si="3"/>
        <v>0</v>
      </c>
      <c r="AI19" s="934">
        <f t="shared" si="3"/>
        <v>0</v>
      </c>
      <c r="AJ19" s="934">
        <f t="shared" si="3"/>
        <v>0</v>
      </c>
      <c r="AK19" s="934">
        <f t="shared" si="3"/>
        <v>0</v>
      </c>
      <c r="AL19" s="934">
        <f t="shared" si="3"/>
        <v>0</v>
      </c>
      <c r="AM19" s="934">
        <f t="shared" si="3"/>
        <v>0</v>
      </c>
      <c r="AN19" s="934">
        <f t="shared" si="3"/>
        <v>0</v>
      </c>
      <c r="AO19" s="934">
        <f t="shared" si="3"/>
        <v>0</v>
      </c>
      <c r="AP19" s="939">
        <f>IF(ISNUMBER(((Datos!L19/Datos!K19)*11)/factor_trimestre),((Datos!L19/Datos!K19)*11)/factor_trimestre," - ")</f>
        <v>9.8660508083140872</v>
      </c>
      <c r="AQ19" s="939">
        <f>IF(ISNUMBER(((Datos!M19/Datos!L19)*11)/factor_trimestre),((Datos!M19/Datos!L19)*11)/factor_trimestre," - ")</f>
        <v>0.18960674157303373</v>
      </c>
      <c r="AR19" s="934">
        <f>SUBTOTAL(9,AR15:AR18)</f>
        <v>0</v>
      </c>
      <c r="AS19" s="934">
        <f>SUBTOTAL(9,AS15:AS18)</f>
        <v>0</v>
      </c>
      <c r="AT19" s="940" t="str">
        <f>IF(ISNUMBER((H19-AB19+K19)/(F19-K19)),(H19-AB19+K19)/(F19-K19)," - ")</f>
        <v xml:space="preserve"> - </v>
      </c>
      <c r="AU19" s="940" t="str">
        <f>IF(ISNUMBER((I19-AC19+L19)/(G19-L19)),(I19-AC19+L19)/(G19-L19)," - ")</f>
        <v xml:space="preserve"> - </v>
      </c>
      <c r="AV19" s="941">
        <f>IF(ISNUMBER((Datos!P19-Datos!Q19)/(Datos!R19-Datos!P19+Datos!Q19)),(Datos!P19-Datos!Q19)/(Datos!R19-Datos!P19+Datos!Q19)," - ")</f>
        <v>-0.15384615384615385</v>
      </c>
      <c r="AW19" s="941">
        <f>IF(ISNUMBER((Datos!Q19-Datos!R19)/(Datos!S19-Datos!Q19+Datos!R19)),(Datos!Q19-Datos!R19)/(Datos!S19-Datos!Q19+Datos!R19)," - ")</f>
        <v>-2.2326674500587545E-2</v>
      </c>
      <c r="AX19" s="934">
        <f>SUBTOTAL(9,AX15:AX18)</f>
        <v>0</v>
      </c>
      <c r="AY19" s="934">
        <f>SUBTOTAL(9,AY15:AY18)</f>
        <v>0</v>
      </c>
      <c r="AZ19" s="934"/>
      <c r="BA19" s="934"/>
      <c r="BB19" s="942"/>
      <c r="BC19" s="232">
        <f>SUBTOTAL(9,BC14:BC18)</f>
        <v>0</v>
      </c>
      <c r="BD19" s="232">
        <f>SUBTOTAL(9,BD14:BD18)</f>
        <v>0</v>
      </c>
      <c r="BE19" s="699">
        <f>SUBTOTAL(9,BE15:BE18)</f>
        <v>0</v>
      </c>
      <c r="BF19" s="700"/>
      <c r="BG19" s="700"/>
      <c r="BH19" s="700"/>
      <c r="BI19" s="700"/>
      <c r="BJ19" s="700"/>
      <c r="BK19" s="700"/>
      <c r="BL19" s="700"/>
      <c r="BM19" s="700"/>
      <c r="BZ19" s="1181"/>
    </row>
    <row r="20" spans="1:78" ht="18.75" customHeight="1" thickTop="1" thickBot="1">
      <c r="A20" s="725"/>
      <c r="B20" s="725"/>
      <c r="C20" s="944" t="str">
        <f>Datos!A20</f>
        <v>TOTAL JURISDICCIONES</v>
      </c>
      <c r="D20" s="944"/>
      <c r="E20" s="945">
        <f t="shared" ref="E20:T20" si="4">SUBTOTAL(9,E9:E19)</f>
        <v>3</v>
      </c>
      <c r="F20" s="946">
        <f t="shared" si="4"/>
        <v>0</v>
      </c>
      <c r="G20" s="946">
        <f t="shared" si="4"/>
        <v>0</v>
      </c>
      <c r="H20" s="946">
        <f t="shared" si="4"/>
        <v>0</v>
      </c>
      <c r="I20" s="947">
        <f t="shared" si="4"/>
        <v>0</v>
      </c>
      <c r="J20" s="948">
        <f t="shared" si="4"/>
        <v>0</v>
      </c>
      <c r="K20" s="948">
        <f t="shared" si="4"/>
        <v>0</v>
      </c>
      <c r="L20" s="948">
        <f t="shared" si="4"/>
        <v>0</v>
      </c>
      <c r="M20" s="948">
        <f t="shared" si="4"/>
        <v>0</v>
      </c>
      <c r="N20" s="947">
        <f t="shared" si="4"/>
        <v>230</v>
      </c>
      <c r="O20" s="947">
        <f t="shared" si="4"/>
        <v>0</v>
      </c>
      <c r="P20" s="947">
        <f t="shared" si="4"/>
        <v>0</v>
      </c>
      <c r="Q20" s="980">
        <f t="shared" si="4"/>
        <v>0</v>
      </c>
      <c r="R20" s="980">
        <f t="shared" si="4"/>
        <v>0</v>
      </c>
      <c r="S20" s="947">
        <f t="shared" si="4"/>
        <v>0</v>
      </c>
      <c r="T20" s="947">
        <f t="shared" si="4"/>
        <v>0</v>
      </c>
      <c r="U20" s="949">
        <f>IF(ISNUMBER(AVERAGE(U8:U19)),AVERAGE(U8:U19),"-")</f>
        <v>0</v>
      </c>
      <c r="V20" s="949">
        <f>IF(ISNUMBER(AVERAGE(V8:V19)),AVERAGE(V8:V19),"-")</f>
        <v>0</v>
      </c>
      <c r="W20" s="947">
        <f>SUBTOTAL(9,W9:W19)</f>
        <v>0</v>
      </c>
      <c r="X20" s="949">
        <f>IF(ISNUMBER(AVERAGE(X8:X19)),AVERAGE(X8:X19),"-")</f>
        <v>0</v>
      </c>
      <c r="Y20" s="981">
        <f>SUBTOTAL(9,Y9:Y19)</f>
        <v>0</v>
      </c>
      <c r="Z20" s="950">
        <f>SUBTOTAL(9,Z9:Z19)</f>
        <v>0</v>
      </c>
      <c r="AA20" s="951">
        <f>IF(ISNUMBER(AVERAGE(AA8:AA19)),AVERAGE(AA8:AA19),"-")</f>
        <v>0</v>
      </c>
      <c r="AB20" s="952">
        <f t="shared" ref="AB20:AO20" si="5">SUBTOTAL(9,AB9:AB19)</f>
        <v>0</v>
      </c>
      <c r="AC20" s="952">
        <f t="shared" si="5"/>
        <v>0</v>
      </c>
      <c r="AD20" s="952">
        <f t="shared" si="5"/>
        <v>279</v>
      </c>
      <c r="AE20" s="952">
        <f t="shared" si="5"/>
        <v>0</v>
      </c>
      <c r="AF20" s="953">
        <f t="shared" si="5"/>
        <v>0</v>
      </c>
      <c r="AG20" s="953">
        <f t="shared" si="5"/>
        <v>0</v>
      </c>
      <c r="AH20" s="953">
        <f t="shared" si="5"/>
        <v>2852</v>
      </c>
      <c r="AI20" s="953">
        <f t="shared" si="5"/>
        <v>0</v>
      </c>
      <c r="AJ20" s="954">
        <f t="shared" si="5"/>
        <v>0</v>
      </c>
      <c r="AK20" s="954">
        <f t="shared" si="5"/>
        <v>0</v>
      </c>
      <c r="AL20" s="946">
        <f t="shared" si="5"/>
        <v>243</v>
      </c>
      <c r="AM20" s="946">
        <f t="shared" si="5"/>
        <v>200</v>
      </c>
      <c r="AN20" s="946">
        <f t="shared" si="5"/>
        <v>0</v>
      </c>
      <c r="AO20" s="946">
        <f t="shared" si="5"/>
        <v>0</v>
      </c>
      <c r="AP20" s="946">
        <f>IF(ISNUMBER(((Datos!L20/Datos!K20)*11)/factor_trimestre),((Datos!L20/Datos!K20)*11)/factor_trimestre," - ")</f>
        <v>8.8526011560693636</v>
      </c>
      <c r="AQ20" s="946" t="str">
        <f>IF(ISNUMBER(((DatosP!L20/DatosP!K20)*11)/factor_trimestre),((DatosP!L20/DatosP!K20)*11)/factor_trimestre," - ")</f>
        <v xml:space="preserve"> - </v>
      </c>
      <c r="AR20" s="957" t="str">
        <f>IF(ISNUMBER(Datos!CI20/Datos!CJ20),Datos!CI20/Datos!CJ20," - ")</f>
        <v xml:space="preserve"> - </v>
      </c>
      <c r="AS20" s="957" t="str">
        <f>IF(ISNUMBER(DatosP!CI20/DatosP!CJ20),DatosP!CI20/DatosP!CJ20," - ")</f>
        <v xml:space="preserve"> - </v>
      </c>
      <c r="AT20" s="958" t="e">
        <f>IF(OR(ISNUMBER(FIND("04",Criterios!A8,1))),(BC20-AB20+J20)/(F20-J20),(H20-AB20+J20)/(F20-J20))</f>
        <v>#DIV/0!</v>
      </c>
      <c r="AU20" s="958" t="e">
        <f>IF(ISNUMBER(FIND("04",Criterios!A8,1)),(DatosP!DC20-DatosP!K20+DatosP!DF20)/(DatosP!L20+DatosP!K20-DatosP!J20-DatosP!DF20),(DatosP!DB20-DatosP!K20+DatosP!DF20)/(DatosP!L20+DatosP!K20-DatosP!J20-DatosP!DF20))</f>
        <v>#DIV/0!</v>
      </c>
      <c r="AV20" s="959">
        <f>IF(ISNUMBER((Datos!P20-Datos!Q20+Datos!DE20)/(Datos!R20-Datos!P20+Datos!Q20-Datos!DE20)),(Datos!P20-Datos!Q20+Datos!DE20)/(Datos!R20-Datos!P20+Datos!Q20-Datos!DE20)," - ")</f>
        <v>-1.9892110586648686E-2</v>
      </c>
      <c r="AW20" s="959" t="str">
        <f>IF(ISNUMBER((DatosP!P20-DatosP!Q20+DatosP!DE20)/(DatosP!R20-DatosP!P20+DatosP!Q20-DatosP!DE20)),(DatosP!P20-DatosP!Q20+DatosP!DE20)/(DatosP!R20-DatosP!P20+DatosP!Q20-DatosP!DE20)," - ")</f>
        <v xml:space="preserve"> - </v>
      </c>
      <c r="AX20" s="961">
        <f>SUBTOTAL(9,AX9:AX19)</f>
        <v>0</v>
      </c>
      <c r="AY20" s="961">
        <f>SUBTOTAL(9,AY9:AY19)</f>
        <v>0</v>
      </c>
      <c r="AZ20" s="962"/>
      <c r="BA20" s="962"/>
      <c r="BB20" s="963"/>
      <c r="BC20" s="283">
        <f>SUBTOTAL(9,BC9:BC19)</f>
        <v>0</v>
      </c>
      <c r="BD20" s="283">
        <f>SUBTOTAL(9,BD9:BD19)</f>
        <v>0</v>
      </c>
      <c r="BE20" s="726">
        <f>SUBTOTAL(9,BE9:BE19)</f>
        <v>0</v>
      </c>
      <c r="BF20" s="728"/>
      <c r="BG20" s="728"/>
      <c r="BH20" s="728"/>
      <c r="BI20" s="728"/>
      <c r="BJ20" s="728"/>
      <c r="BK20" s="728"/>
      <c r="BL20" s="728"/>
      <c r="BM20" s="728"/>
    </row>
    <row r="21" spans="1:78" ht="18.75" customHeight="1" thickTop="1" thickBot="1">
      <c r="A21" s="729"/>
      <c r="B21" s="729"/>
      <c r="C21" s="964" t="s">
        <v>265</v>
      </c>
      <c r="D21" s="965"/>
      <c r="E21" s="965">
        <f ca="1">IF(ISNUMBER(SUMIF($B8:$B19,$B21,E8:E19)/INDIRECT("Datos!AP"&amp;ROW()-1)),SUMIF($B8:$B19,$B21,E8:E19)/INDIRECT("Datos!AP"&amp;ROW()-1),"-")</f>
        <v>0</v>
      </c>
      <c r="F21" s="956">
        <f ca="1">IF(ISNUMBER(SUMIF($B8:$B19,$B21,F8:F19)/INDIRECT("Datos!AP"&amp;ROW()-1)),SUMIF($B8:$B19,$B21,F8:F19)/INDIRECT("Datos!AP"&amp;ROW()-1),"-")</f>
        <v>0</v>
      </c>
      <c r="G21" s="966">
        <f>IF(ISNUMBER(AVERAGE(G8:G19)),AVERAGE(G8:G19),"-")</f>
        <v>0</v>
      </c>
      <c r="H21" s="956">
        <f t="shared" ref="H21:S21" ca="1" si="6">IF(ISNUMBER(SUMIF($B8:$B19,$B21,H8:H19)/INDIRECT("Datos!AP"&amp;ROW()-1)),SUMIF($B8:$B19,$B21,H8:H19)/INDIRECT("Datos!AP"&amp;ROW()-1),"-")</f>
        <v>0</v>
      </c>
      <c r="I21" s="967">
        <f t="shared" ca="1" si="6"/>
        <v>0</v>
      </c>
      <c r="J21" s="967">
        <f t="shared" ca="1" si="6"/>
        <v>0</v>
      </c>
      <c r="K21" s="967">
        <f t="shared" ca="1" si="6"/>
        <v>0</v>
      </c>
      <c r="L21" s="967">
        <f t="shared" ca="1" si="6"/>
        <v>0</v>
      </c>
      <c r="M21" s="967">
        <f t="shared" ca="1" si="6"/>
        <v>0</v>
      </c>
      <c r="N21" s="967">
        <f t="shared" ca="1" si="6"/>
        <v>0</v>
      </c>
      <c r="O21" s="967">
        <f t="shared" ca="1" si="6"/>
        <v>0</v>
      </c>
      <c r="P21" s="967">
        <f t="shared" ca="1" si="6"/>
        <v>0</v>
      </c>
      <c r="Q21" s="968">
        <f t="shared" ca="1" si="6"/>
        <v>0</v>
      </c>
      <c r="R21" s="968">
        <f t="shared" ca="1" si="6"/>
        <v>0</v>
      </c>
      <c r="S21" s="967">
        <f t="shared" ca="1" si="6"/>
        <v>0</v>
      </c>
      <c r="T21" s="967" t="str">
        <f ca="1">IF(ISNUMBER(SUMIF($B8:$B19,$B21,T8:T19)/INDIRECT("DatosP!AP"&amp;ROW()-1)),SUMIF($B8:$B19,$B21,T8:T19)/INDIRECT("DatosP!AP"&amp;ROW()-1),"-")</f>
        <v>-</v>
      </c>
      <c r="U21" s="969">
        <f ca="1">IF(ISNUMBER(SUMIF($B8:$B19,$B21,U8:U19)/INDIRECT("Datos!AP"&amp;ROW()-1)),SUMIF($B8:$B19,$B21,U8:U19)/INDIRECT("Datos!AP"&amp;ROW()-1),"-")</f>
        <v>0</v>
      </c>
      <c r="V21" s="969">
        <f ca="1">IF(ISNUMBER(SUMIF($B8:$B19,$B21,V8:V19)/INDIRECT("Datos!AP"&amp;ROW()-1)),SUMIF($B8:$B19,$B21,V8:V19)/INDIRECT("Datos!AP"&amp;ROW()-1),"-")</f>
        <v>0</v>
      </c>
      <c r="W21" s="967" t="str">
        <f ca="1">IF(ISNUMBER(SUMIF($B8:$B19,$B21,W8:W19)/INDIRECT("DatosP!AP"&amp;ROW()-1)),SUMIF($B8:$B19,$B21,W8:W19)/INDIRECT("DatosP!AP"&amp;ROW()-1),"-")</f>
        <v>-</v>
      </c>
      <c r="X21" s="969">
        <f t="shared" ref="X21:AP21" ca="1" si="7">IF(ISNUMBER(SUMIF($B8:$B19,$B21,X8:X19)/INDIRECT("Datos!AP"&amp;ROW()-1)),SUMIF($B8:$B19,$B21,X8:X19)/INDIRECT("Datos!AP"&amp;ROW()-1),"-")</f>
        <v>0</v>
      </c>
      <c r="Y21" s="982">
        <f t="shared" ca="1" si="7"/>
        <v>0</v>
      </c>
      <c r="Z21" s="970">
        <f t="shared" ca="1" si="7"/>
        <v>0</v>
      </c>
      <c r="AA21" s="971">
        <f t="shared" ca="1" si="7"/>
        <v>0</v>
      </c>
      <c r="AB21" s="972">
        <f t="shared" ca="1" si="7"/>
        <v>0</v>
      </c>
      <c r="AC21" s="972">
        <f t="shared" ca="1" si="7"/>
        <v>0</v>
      </c>
      <c r="AD21" s="972">
        <f t="shared" ca="1" si="7"/>
        <v>0</v>
      </c>
      <c r="AE21" s="972">
        <f t="shared" ca="1" si="7"/>
        <v>0</v>
      </c>
      <c r="AF21" s="972">
        <f t="shared" ca="1" si="7"/>
        <v>0</v>
      </c>
      <c r="AG21" s="972">
        <f t="shared" ca="1" si="7"/>
        <v>0</v>
      </c>
      <c r="AH21" s="972">
        <f t="shared" ca="1" si="7"/>
        <v>0</v>
      </c>
      <c r="AI21" s="972">
        <f t="shared" ca="1" si="7"/>
        <v>0</v>
      </c>
      <c r="AJ21" s="967">
        <f t="shared" ca="1" si="7"/>
        <v>0</v>
      </c>
      <c r="AK21" s="974">
        <f t="shared" ca="1" si="7"/>
        <v>0</v>
      </c>
      <c r="AL21" s="956">
        <f t="shared" ca="1" si="7"/>
        <v>0</v>
      </c>
      <c r="AM21" s="956">
        <f t="shared" ca="1" si="7"/>
        <v>0</v>
      </c>
      <c r="AN21" s="956">
        <f t="shared" ca="1" si="7"/>
        <v>0</v>
      </c>
      <c r="AO21" s="967">
        <f t="shared" ca="1" si="7"/>
        <v>0</v>
      </c>
      <c r="AP21" s="967">
        <f t="shared" ca="1" si="7"/>
        <v>0</v>
      </c>
      <c r="AQ21" s="967" t="str">
        <f ca="1">IF(ISNUMBER(SUMIF($B8:$B19,$B21,AQ8:AQ19)/INDIRECT("DatosP!AP"&amp;ROW()-1)),SUMIF($B8:$B19,$B21,AQ8:AQ19)/INDIRECT("DatosP!AP"&amp;ROW()-1),"-")</f>
        <v>-</v>
      </c>
      <c r="AR21" s="975" t="e">
        <f ca="1">INDIRECT("Datos!CI"&amp;ROW()-1)/INDIRECT("Datos!CJ"&amp;ROW()-1)</f>
        <v>#DIV/0!</v>
      </c>
      <c r="AS21" s="975" t="e">
        <f ca="1">INDIRECT("DatosP!CI"&amp;ROW()-1)/INDIRECT("DatosP!CJ"&amp;ROW()-1)</f>
        <v>#DIV/0!</v>
      </c>
      <c r="AT21" s="958" t="e">
        <f ca="1">IF(OR(ISNUMBER(FIND("04",Criterios!A8,1))),(BC21-AB21+J21)/(F21-J21),(H21-AB21+J21)/(F21-J21))</f>
        <v>#DIV/0!</v>
      </c>
      <c r="AU21" s="958" t="str">
        <f ca="1">(INDIRECT("AW"&amp;ROW()-1))</f>
        <v xml:space="preserve"> - </v>
      </c>
      <c r="AV21" s="976">
        <f ca="1">IF(ISNUMBER(SUMIF($B8:$B19,$B21,AV8:AV19)/INDIRECT("Datos!AP"&amp;ROW()-1)),SUMIF($B8:$B19,$B21,AV8:AV19)/INDIRECT("Datos!AP"&amp;ROW()-1),"-")</f>
        <v>0</v>
      </c>
      <c r="AW21" s="976">
        <f ca="1">IF(ISNUMBER(SUMIF($B8:$B19,$B21,AW8:AW19)/INDIRECT("Datos!AP"&amp;ROW()-1)),SUMIF($B8:$B19,$B21,AW8:AW19)/INDIRECT("Datos!AP"&amp;ROW()-1),"-")</f>
        <v>0</v>
      </c>
      <c r="AX21" s="978">
        <f ca="1">IF(ISNUMBER(SUMIF($B8:$B19,$B21,AX8:AX19)/INDIRECT("Datos!AP"&amp;ROW()-1)),SUMIF($B8:$B19,$B21,AX8:AX19)/INDIRECT("Datos!AP"&amp;ROW()-1),"-")</f>
        <v>0</v>
      </c>
      <c r="AY21" s="978">
        <f ca="1">IF(ISNUMBER(SUMIF($B8:$B19,$B21,AY8:AY19)/INDIRECT("Datos!AP"&amp;ROW()-1)),SUMIF($B8:$B19,$B21,AY8:AY19)/INDIRECT("Datos!AP"&amp;ROW()-1),"-")</f>
        <v>0</v>
      </c>
      <c r="AZ21" s="978"/>
      <c r="BA21" s="978"/>
      <c r="BB21" s="979"/>
      <c r="BC21" s="247">
        <f ca="1">IF(ISNUMBER(SUMIF($B8:$B19,$B21,BC8:BC19)/INDIRECT("Datos!AP"&amp;ROW()-1)),SUMIF($B8:$B19,$B21,BC8:BC19)/INDIRECT("Datos!AP"&amp;ROW()-1),"-")</f>
        <v>0</v>
      </c>
      <c r="BD21" s="247">
        <f ca="1">IF(ISNUMBER(SUMIF($B8:$B19,$B21,BD8:BD19)/INDIRECT("Datos!AP"&amp;ROW()-1)),SUMIF($B8:$B19,$B21,BD8:BD19)/INDIRECT("Datos!AP"&amp;ROW()-1),"-")</f>
        <v>0</v>
      </c>
      <c r="BE21" s="727">
        <f ca="1">IF(ISNUMBER(SUMIF($B8:$B19,$B21,BE8:BE19)/INDIRECT("Datos!AP"&amp;ROW()-1)),SUMIF($B8:$B19,$B21,BE8:BE19)/INDIRECT("Datos!AP"&amp;ROW()-1),"-")</f>
        <v>0</v>
      </c>
    </row>
    <row r="22" spans="1:78" ht="18.75" hidden="1" customHeight="1">
      <c r="A22" s="730"/>
      <c r="B22" s="730"/>
      <c r="C22" s="730" t="s">
        <v>266</v>
      </c>
      <c r="D22" s="731"/>
      <c r="E22" s="732">
        <f>IF(ISNUMBER(STDEV(E8:E19)),STDEV(E8:E19),"-")</f>
        <v>1.5491933384829668</v>
      </c>
      <c r="F22" s="733">
        <f>IF(ISNUMBER(STDEV(F8:F19)),STDEV(F8:F19),"-")</f>
        <v>0</v>
      </c>
      <c r="G22" s="734">
        <f>IF(ISNUMBER(STDEV(G8:G19)),STDEV(G8:G19),"-")</f>
        <v>0</v>
      </c>
      <c r="H22" s="733">
        <f>IF(ISNUMBER(STDEV(H8:H19)),STDEV(H8:H19),"-")</f>
        <v>0</v>
      </c>
      <c r="I22" s="736">
        <f>IF(ISNUMBER(STDEV(I8:I19)),STDEV(I8:I19),"-")</f>
        <v>0</v>
      </c>
      <c r="J22" s="735"/>
      <c r="K22" s="735"/>
      <c r="L22" s="735"/>
      <c r="M22" s="735"/>
      <c r="N22" s="735"/>
      <c r="O22" s="735"/>
      <c r="P22" s="735"/>
      <c r="Q22" s="737"/>
      <c r="R22" s="737"/>
      <c r="S22" s="735"/>
      <c r="T22" s="735"/>
      <c r="U22" s="737"/>
      <c r="V22" s="737"/>
      <c r="W22" s="735"/>
      <c r="X22" s="1016"/>
      <c r="Y22" s="783"/>
      <c r="Z22" s="733">
        <f>IF(ISNUMBER(STDEV(Z8:Z19)),STDEV(Z8:Z19),"-")</f>
        <v>0</v>
      </c>
      <c r="AA22" s="737">
        <f>IF(ISNUMBER(STDEV(AA8:AA19)),STDEV(AA8:AA19),"-")</f>
        <v>0</v>
      </c>
      <c r="AB22" s="735">
        <f>IF(ISNUMBER(STDEV(AB8:AB19)),STDEV(AB8:AB19),"-")</f>
        <v>0</v>
      </c>
      <c r="AC22" s="735">
        <f>IF(ISNUMBER(STDEV(AC8:AC19)),STDEV(AC8:AC19),"-")</f>
        <v>0</v>
      </c>
      <c r="AD22" s="738"/>
      <c r="AE22" s="738"/>
      <c r="AF22" s="738"/>
      <c r="AG22" s="738"/>
      <c r="AH22" s="738"/>
      <c r="AI22" s="738"/>
      <c r="AJ22" s="739">
        <f>IF(ISNUMBER(STDEV(AJ8:AJ19)),STDEV(AJ8:AJ19),"-")</f>
        <v>0</v>
      </c>
      <c r="AK22" s="741"/>
      <c r="AL22" s="733">
        <f>IF(ISNUMBER(STDEV(AL8:AL19)),STDEV(AL8:AL19),"-")</f>
        <v>140.29611541307906</v>
      </c>
      <c r="AM22" s="733"/>
      <c r="AN22" s="733">
        <f>IF(ISNUMBER(STDEV(AN8:AN19)),STDEV(AN8:AN19),"-")</f>
        <v>0</v>
      </c>
      <c r="AO22" s="739">
        <f>IF(ISNUMBER(STDEV(AO8:AO19)),STDEV(AO8:AO19),"-")</f>
        <v>0</v>
      </c>
      <c r="AP22" s="776">
        <f>IF(ISNUMBER(STDEV(AP8:AP19)),STDEV(AP8:AP19),"-")</f>
        <v>1.0818288040886381</v>
      </c>
      <c r="AQ22" s="776" t="str">
        <f>IF(ISNUMBER(STDEV(AQ8:AQ19)),STDEV(AQ8:AQ19),"-")</f>
        <v>-</v>
      </c>
      <c r="AR22" s="691" t="str">
        <f>IF(ISNUMBER(AT22/AV22),AT22/AV22," - ")</f>
        <v xml:space="preserve"> - </v>
      </c>
      <c r="AS22" s="691" t="str">
        <f>IF(ISNUMBER(AV22/#REF!),AV22/#REF!," - ")</f>
        <v xml:space="preserve"> - </v>
      </c>
      <c r="AT22" s="743" t="str">
        <f>IF(ISNUMBER(STDEV(AT8:AT19)),STDEV(AT8:AT19),"-")</f>
        <v>-</v>
      </c>
      <c r="AU22" s="743" t="str">
        <f>IF(ISNUMBER(STDEV(AU8:AU19)),STDEV(AU8:AU19),"-")</f>
        <v>-</v>
      </c>
      <c r="AV22" s="744"/>
      <c r="AW22" s="744"/>
      <c r="AX22" s="746">
        <f t="shared" ref="AX22:BE22" si="8">IF(ISNUMBER(STDEV(AX8:AX19)),STDEV(AX8:AX19),"-")</f>
        <v>0</v>
      </c>
      <c r="AY22" s="746">
        <f t="shared" si="8"/>
        <v>0</v>
      </c>
      <c r="AZ22" s="747">
        <f t="shared" si="8"/>
        <v>0</v>
      </c>
      <c r="BA22" s="747">
        <f t="shared" si="8"/>
        <v>0</v>
      </c>
      <c r="BB22" s="748">
        <f t="shared" si="8"/>
        <v>0</v>
      </c>
      <c r="BC22" s="253">
        <f t="shared" si="8"/>
        <v>0</v>
      </c>
      <c r="BD22" s="253">
        <f t="shared" si="8"/>
        <v>0</v>
      </c>
      <c r="BE22" s="733">
        <f t="shared" si="8"/>
        <v>0</v>
      </c>
    </row>
    <row r="23" spans="1:78" ht="12" customHeight="1" thickTop="1">
      <c r="C23" s="71"/>
      <c r="D23" s="71"/>
      <c r="F23" s="749"/>
      <c r="G23" s="749"/>
      <c r="H23" s="749"/>
      <c r="J23" s="749"/>
      <c r="K23" s="749"/>
      <c r="L23" s="750"/>
      <c r="M23" s="750"/>
      <c r="N23" s="749"/>
      <c r="O23" s="749"/>
      <c r="P23" s="749"/>
      <c r="Q23" s="751"/>
      <c r="R23" s="751"/>
      <c r="S23" s="749"/>
      <c r="T23" s="749"/>
      <c r="U23" s="751"/>
      <c r="V23" s="751"/>
      <c r="W23" s="749"/>
      <c r="X23" s="1017"/>
      <c r="Y23" s="784"/>
      <c r="Z23" s="749"/>
      <c r="AA23" s="751"/>
      <c r="AB23" s="749"/>
      <c r="AC23" s="749"/>
      <c r="AD23" s="749"/>
      <c r="AE23" s="749"/>
      <c r="AF23" s="749"/>
      <c r="AG23" s="749"/>
      <c r="AH23" s="749"/>
      <c r="AI23" s="749"/>
      <c r="AJ23" s="749"/>
      <c r="AK23" s="749"/>
      <c r="AL23" s="749"/>
      <c r="AM23" s="749"/>
      <c r="AN23" s="749"/>
      <c r="AO23" s="749"/>
      <c r="AP23" s="749"/>
      <c r="AQ23" s="749"/>
      <c r="AR23" s="751"/>
      <c r="AS23" s="751"/>
      <c r="AT23" s="749" t="s">
        <v>425</v>
      </c>
      <c r="AU23" s="749" t="s">
        <v>425</v>
      </c>
      <c r="AV23" s="752"/>
      <c r="AW23" s="752"/>
      <c r="AX23" s="749"/>
      <c r="AY23" s="749"/>
      <c r="AZ23" s="754"/>
      <c r="BA23" s="754"/>
      <c r="BB23" s="749"/>
      <c r="BE23" s="749"/>
    </row>
    <row r="24" spans="1:78" ht="14.25">
      <c r="C24" s="159"/>
      <c r="D24" s="517"/>
      <c r="E24" s="755"/>
      <c r="F24" s="756"/>
      <c r="G24" s="687"/>
      <c r="H24" s="757"/>
      <c r="I24" s="758"/>
      <c r="J24" s="757"/>
      <c r="K24" s="757"/>
      <c r="L24" s="723"/>
      <c r="M24" s="723"/>
      <c r="N24" s="757"/>
      <c r="O24" s="757"/>
      <c r="P24" s="757"/>
      <c r="Q24" s="683"/>
      <c r="R24" s="683"/>
      <c r="S24" s="757"/>
      <c r="T24" s="757"/>
      <c r="U24" s="683"/>
      <c r="V24" s="683"/>
      <c r="W24" s="757"/>
      <c r="X24" s="1014"/>
      <c r="Y24" s="679"/>
      <c r="Z24" s="723"/>
      <c r="AA24" s="683"/>
      <c r="AB24" s="757"/>
      <c r="AC24" s="757"/>
      <c r="AD24" s="759"/>
      <c r="AE24" s="759"/>
      <c r="AF24" s="669"/>
      <c r="AG24" s="669"/>
      <c r="AH24" s="759"/>
      <c r="AI24" s="759"/>
      <c r="AJ24" s="757"/>
      <c r="AK24" s="757"/>
      <c r="AL24" s="757"/>
      <c r="AM24" s="757"/>
      <c r="AN24" s="757"/>
      <c r="AO24" s="757"/>
      <c r="AP24" s="757"/>
      <c r="AQ24" s="757"/>
      <c r="AR24" s="683"/>
      <c r="AS24" s="683"/>
      <c r="AT24" s="683"/>
      <c r="AU24" s="683"/>
      <c r="AV24" s="697"/>
      <c r="AW24" s="697"/>
      <c r="AX24" s="757"/>
      <c r="AY24" s="757"/>
      <c r="AZ24" s="761"/>
      <c r="BA24" s="761"/>
      <c r="BB24" s="761"/>
      <c r="BC24" s="143"/>
      <c r="BD24" s="143"/>
      <c r="BE24" s="756"/>
    </row>
    <row r="25" spans="1:78" ht="14.25">
      <c r="C25" s="7"/>
      <c r="D25" s="520"/>
      <c r="E25" s="755"/>
      <c r="F25" s="756"/>
      <c r="G25" s="687"/>
      <c r="H25" s="757"/>
      <c r="I25" s="758"/>
      <c r="J25" s="757"/>
      <c r="K25" s="757"/>
      <c r="L25" s="723"/>
      <c r="M25" s="723"/>
      <c r="N25" s="757"/>
      <c r="O25" s="757"/>
      <c r="P25" s="757"/>
      <c r="Q25" s="683"/>
      <c r="R25" s="683"/>
      <c r="S25" s="757"/>
      <c r="T25" s="757"/>
      <c r="U25" s="683"/>
      <c r="V25" s="683"/>
      <c r="W25" s="757"/>
      <c r="X25" s="1014"/>
      <c r="Y25" s="679"/>
      <c r="Z25" s="723"/>
      <c r="AA25" s="683"/>
      <c r="AB25" s="757"/>
      <c r="AC25" s="757"/>
      <c r="AD25" s="759"/>
      <c r="AE25" s="759"/>
      <c r="AF25" s="669"/>
      <c r="AG25" s="669"/>
      <c r="AH25" s="759"/>
      <c r="AI25" s="759"/>
      <c r="AJ25" s="757"/>
      <c r="AK25" s="757"/>
      <c r="AL25" s="757"/>
      <c r="AM25" s="757"/>
      <c r="AN25" s="757"/>
      <c r="AO25" s="757"/>
      <c r="AP25" s="757"/>
      <c r="AQ25" s="757"/>
      <c r="AR25" s="683"/>
      <c r="AS25" s="683"/>
      <c r="AT25" s="683"/>
      <c r="AU25" s="683"/>
      <c r="AV25" s="697"/>
      <c r="AW25" s="697"/>
      <c r="AX25" s="757"/>
      <c r="AY25" s="757"/>
      <c r="AZ25" s="761"/>
      <c r="BA25" s="761"/>
      <c r="BB25" s="761"/>
      <c r="BC25" s="143"/>
      <c r="BD25" s="143"/>
      <c r="BE25" s="756"/>
    </row>
    <row r="26" spans="1:78" ht="12.75" hidden="1" customHeight="1">
      <c r="C26" s="521" t="s">
        <v>263</v>
      </c>
      <c r="D26" s="520"/>
      <c r="E26" s="724">
        <f t="shared" ref="E26:AV26" si="9">E24+2*E25</f>
        <v>0</v>
      </c>
      <c r="F26" s="724">
        <f t="shared" si="9"/>
        <v>0</v>
      </c>
      <c r="G26" s="721">
        <f t="shared" si="9"/>
        <v>0</v>
      </c>
      <c r="H26" s="762">
        <f t="shared" si="9"/>
        <v>0</v>
      </c>
      <c r="I26" s="763">
        <f>I24+2*I25</f>
        <v>0</v>
      </c>
      <c r="J26" s="762">
        <f>J24+2*J25</f>
        <v>0</v>
      </c>
      <c r="K26" s="762">
        <f t="shared" si="9"/>
        <v>0</v>
      </c>
      <c r="L26" s="762">
        <f t="shared" si="9"/>
        <v>0</v>
      </c>
      <c r="M26" s="762">
        <f t="shared" si="9"/>
        <v>0</v>
      </c>
      <c r="N26" s="762">
        <f t="shared" si="9"/>
        <v>0</v>
      </c>
      <c r="O26" s="762">
        <f>O24+2*O25</f>
        <v>0</v>
      </c>
      <c r="P26" s="762">
        <f t="shared" si="9"/>
        <v>0</v>
      </c>
      <c r="Q26" s="764">
        <f t="shared" si="9"/>
        <v>0</v>
      </c>
      <c r="R26" s="764">
        <f t="shared" si="9"/>
        <v>0</v>
      </c>
      <c r="S26" s="762">
        <f t="shared" si="9"/>
        <v>0</v>
      </c>
      <c r="T26" s="762">
        <f>T24+2*T25</f>
        <v>0</v>
      </c>
      <c r="U26" s="765">
        <f t="shared" si="9"/>
        <v>0</v>
      </c>
      <c r="V26" s="765">
        <f>V24+2*V25</f>
        <v>0</v>
      </c>
      <c r="W26" s="762">
        <v>0</v>
      </c>
      <c r="X26" s="765">
        <v>0</v>
      </c>
      <c r="Y26" s="785">
        <f>Y24+2*Y25</f>
        <v>0</v>
      </c>
      <c r="Z26" s="721">
        <f t="shared" si="9"/>
        <v>0</v>
      </c>
      <c r="AA26" s="766">
        <f t="shared" si="9"/>
        <v>0</v>
      </c>
      <c r="AB26" s="721">
        <f t="shared" si="9"/>
        <v>0</v>
      </c>
      <c r="AC26" s="721">
        <f>AC24+2*AC25</f>
        <v>0</v>
      </c>
      <c r="AD26" s="721">
        <f t="shared" si="9"/>
        <v>0</v>
      </c>
      <c r="AE26" s="721">
        <f>AE24+2*AE25</f>
        <v>0</v>
      </c>
      <c r="AF26" s="721">
        <f t="shared" si="9"/>
        <v>0</v>
      </c>
      <c r="AG26" s="721">
        <f>AG24+2*AG25</f>
        <v>0</v>
      </c>
      <c r="AH26" s="721">
        <f t="shared" si="9"/>
        <v>0</v>
      </c>
      <c r="AI26" s="721">
        <f>AI24+2*AI25</f>
        <v>0</v>
      </c>
      <c r="AJ26" s="721">
        <f t="shared" si="9"/>
        <v>0</v>
      </c>
      <c r="AK26" s="721">
        <f t="shared" si="9"/>
        <v>0</v>
      </c>
      <c r="AL26" s="721">
        <f t="shared" si="9"/>
        <v>0</v>
      </c>
      <c r="AM26" s="721">
        <f t="shared" si="9"/>
        <v>0</v>
      </c>
      <c r="AN26" s="721">
        <f t="shared" si="9"/>
        <v>0</v>
      </c>
      <c r="AO26" s="721">
        <f t="shared" si="9"/>
        <v>0</v>
      </c>
      <c r="AP26" s="767">
        <f t="shared" si="9"/>
        <v>0</v>
      </c>
      <c r="AQ26" s="767">
        <f>AQ24+2*AQ25</f>
        <v>0</v>
      </c>
      <c r="AR26" s="766">
        <f t="shared" si="9"/>
        <v>0</v>
      </c>
      <c r="AS26" s="766">
        <f>AS24+2*AS25</f>
        <v>0</v>
      </c>
      <c r="AT26" s="768">
        <f t="shared" si="9"/>
        <v>0</v>
      </c>
      <c r="AU26" s="768">
        <f>AU24+2*AU25</f>
        <v>0</v>
      </c>
      <c r="AV26" s="768">
        <f t="shared" si="9"/>
        <v>0</v>
      </c>
      <c r="AW26" s="768">
        <f>AW24+2*AW25</f>
        <v>0</v>
      </c>
      <c r="AX26" s="721">
        <f>AX24+2*AX25</f>
        <v>0</v>
      </c>
      <c r="AY26" s="721">
        <f>AY24+2*AY25</f>
        <v>0</v>
      </c>
      <c r="AZ26" s="721">
        <f>(AZ24-ultimoDiaTrim)+2*AZ25</f>
        <v>0</v>
      </c>
      <c r="BA26" s="721">
        <f>(BA24-ultimoDiaTrim)+2*BA25</f>
        <v>0</v>
      </c>
      <c r="BB26" s="769"/>
      <c r="BC26" s="141">
        <f>BC24+2*BC25</f>
        <v>0</v>
      </c>
      <c r="BD26" s="141">
        <f>BD24+2*BD25</f>
        <v>0</v>
      </c>
      <c r="BE26" s="724">
        <f>BE24+2*BE25</f>
        <v>0</v>
      </c>
    </row>
    <row r="27" spans="1:78" ht="12.75" hidden="1" customHeight="1">
      <c r="C27" s="521" t="s">
        <v>264</v>
      </c>
      <c r="D27" s="520"/>
      <c r="E27" s="724">
        <f t="shared" ref="E27:AV27" si="10">MIN(0,E24-2*E25)</f>
        <v>0</v>
      </c>
      <c r="F27" s="724">
        <f t="shared" si="10"/>
        <v>0</v>
      </c>
      <c r="G27" s="721">
        <f t="shared" si="10"/>
        <v>0</v>
      </c>
      <c r="H27" s="721">
        <f t="shared" si="10"/>
        <v>0</v>
      </c>
      <c r="I27" s="770">
        <f>MIN(0,I24-2*I25)</f>
        <v>0</v>
      </c>
      <c r="J27" s="721">
        <f>MIN(0,J24-2*J25)</f>
        <v>0</v>
      </c>
      <c r="K27" s="721">
        <f t="shared" si="10"/>
        <v>0</v>
      </c>
      <c r="L27" s="721">
        <f t="shared" si="10"/>
        <v>0</v>
      </c>
      <c r="M27" s="721">
        <f t="shared" si="10"/>
        <v>0</v>
      </c>
      <c r="N27" s="721">
        <f t="shared" si="10"/>
        <v>0</v>
      </c>
      <c r="O27" s="721">
        <f>MIN(0,O24-2*O25)</f>
        <v>0</v>
      </c>
      <c r="P27" s="721">
        <f t="shared" si="10"/>
        <v>0</v>
      </c>
      <c r="Q27" s="766">
        <f t="shared" si="10"/>
        <v>0</v>
      </c>
      <c r="R27" s="766">
        <f t="shared" si="10"/>
        <v>0</v>
      </c>
      <c r="S27" s="721">
        <f t="shared" si="10"/>
        <v>0</v>
      </c>
      <c r="T27" s="721">
        <f>MIN(0,T24-2*T25)</f>
        <v>0</v>
      </c>
      <c r="U27" s="768">
        <f t="shared" si="10"/>
        <v>0</v>
      </c>
      <c r="V27" s="768">
        <f>MIN(0,V24-2*V25)</f>
        <v>0</v>
      </c>
      <c r="W27" s="721">
        <v>0</v>
      </c>
      <c r="X27" s="768">
        <v>0</v>
      </c>
      <c r="Y27" s="786">
        <f>MIN(0,Y24-2*Y25)</f>
        <v>0</v>
      </c>
      <c r="Z27" s="721">
        <f t="shared" si="10"/>
        <v>0</v>
      </c>
      <c r="AA27" s="766">
        <f t="shared" si="10"/>
        <v>0</v>
      </c>
      <c r="AB27" s="721">
        <f t="shared" si="10"/>
        <v>0</v>
      </c>
      <c r="AC27" s="721">
        <f>MIN(0,AC24-2*AC25)</f>
        <v>0</v>
      </c>
      <c r="AD27" s="721">
        <f t="shared" si="10"/>
        <v>0</v>
      </c>
      <c r="AE27" s="721">
        <f>MIN(0,AE24-2*AE25)</f>
        <v>0</v>
      </c>
      <c r="AF27" s="721">
        <f t="shared" si="10"/>
        <v>0</v>
      </c>
      <c r="AG27" s="721">
        <f>MIN(0,AG24-2*AG25)</f>
        <v>0</v>
      </c>
      <c r="AH27" s="721">
        <f t="shared" si="10"/>
        <v>0</v>
      </c>
      <c r="AI27" s="721">
        <f>MIN(0,AI24-2*AI25)</f>
        <v>0</v>
      </c>
      <c r="AJ27" s="721">
        <f t="shared" si="10"/>
        <v>0</v>
      </c>
      <c r="AK27" s="721">
        <f t="shared" si="10"/>
        <v>0</v>
      </c>
      <c r="AL27" s="721">
        <f t="shared" si="10"/>
        <v>0</v>
      </c>
      <c r="AM27" s="721">
        <f t="shared" si="10"/>
        <v>0</v>
      </c>
      <c r="AN27" s="721">
        <f t="shared" si="10"/>
        <v>0</v>
      </c>
      <c r="AO27" s="721">
        <f t="shared" si="10"/>
        <v>0</v>
      </c>
      <c r="AP27" s="767">
        <f t="shared" si="10"/>
        <v>0</v>
      </c>
      <c r="AQ27" s="767">
        <f>MIN(0,AQ24-2*AQ25)</f>
        <v>0</v>
      </c>
      <c r="AR27" s="766">
        <f t="shared" si="10"/>
        <v>0</v>
      </c>
      <c r="AS27" s="766">
        <f>MIN(0,AS24-2*AS25)</f>
        <v>0</v>
      </c>
      <c r="AT27" s="768">
        <f t="shared" si="10"/>
        <v>0</v>
      </c>
      <c r="AU27" s="768">
        <f>MIN(0,AU24-2*AU25)</f>
        <v>0</v>
      </c>
      <c r="AV27" s="768">
        <f t="shared" si="10"/>
        <v>0</v>
      </c>
      <c r="AW27" s="768">
        <f>MIN(0,AW24-2*AW25)</f>
        <v>0</v>
      </c>
      <c r="AX27" s="721">
        <f>MIN(0,AX24-2*AX25)</f>
        <v>0</v>
      </c>
      <c r="AY27" s="721">
        <f>MIN(0,AY24-2*AY25)</f>
        <v>0</v>
      </c>
      <c r="AZ27" s="721">
        <f>MIN(0,(AZ24-ultimoDiaTrim)-2*AZ25)</f>
        <v>0</v>
      </c>
      <c r="BA27" s="721">
        <f>MIN(0,(BA24-ultimoDiaTrim)-2*BA25)</f>
        <v>0</v>
      </c>
      <c r="BB27" s="769"/>
      <c r="BC27" s="142">
        <f>MIN(0,BC24-2*BC25)</f>
        <v>0</v>
      </c>
      <c r="BD27" s="142">
        <f>MIN(0,BD24-2*BD25)</f>
        <v>0</v>
      </c>
      <c r="BE27" s="724">
        <f>MIN(0,BE24-2*BE25)</f>
        <v>0</v>
      </c>
    </row>
    <row r="28" spans="1:78">
      <c r="C28" s="71"/>
      <c r="D28" s="71"/>
      <c r="W28"/>
      <c r="X28"/>
    </row>
    <row r="31" spans="1:78">
      <c r="C31" s="642" t="str">
        <f>Criterios!A4</f>
        <v>Fecha Informe: 18 jun. 2026</v>
      </c>
      <c r="W31"/>
      <c r="X31"/>
    </row>
    <row r="33" spans="3:24">
      <c r="C33" s="771"/>
      <c r="D33" s="771"/>
      <c r="W33"/>
      <c r="X33"/>
    </row>
  </sheetData>
  <sheetProtection algorithmName="SHA-512" hashValue="rvjBoMoL+U2MXryoVVT8lSlfVPTrBJb7UGe3dxr9EWuEQMzhUOTQyCzTMlPJbv8joKBKp9t0JrogdaW34qp9CQ==" saltValue="bewzuKmSNJZu1jtP/4YXf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8">
    <cfRule type="expression" dxfId="194" priority="126" stopIfTrue="1">
      <formula>IF(F9&lt;&gt;G9,TRUE,FALSE)</formula>
    </cfRule>
    <cfRule type="cellIs" dxfId="193" priority="128" stopIfTrue="1" operator="notBetween">
      <formula>$F$26</formula>
      <formula>$F$27</formula>
    </cfRule>
  </conditionalFormatting>
  <conditionalFormatting sqref="G9">
    <cfRule type="expression" dxfId="192" priority="134" stopIfTrue="1">
      <formula>IF(G9&lt;&gt;H9,TRUE,FALSE)</formula>
    </cfRule>
  </conditionalFormatting>
  <conditionalFormatting sqref="G10 G15:G18">
    <cfRule type="cellIs" dxfId="191" priority="127" stopIfTrue="1" operator="notBetween">
      <formula>$G$26</formula>
      <formula>$G$27</formula>
    </cfRule>
  </conditionalFormatting>
  <conditionalFormatting sqref="H15:H18 H9:H12">
    <cfRule type="cellIs" dxfId="190" priority="133" stopIfTrue="1" operator="notBetween">
      <formula>$H$26</formula>
      <formula>$H$27</formula>
    </cfRule>
  </conditionalFormatting>
  <conditionalFormatting sqref="H11">
    <cfRule type="cellIs" dxfId="189" priority="118" stopIfTrue="1" operator="greaterThan">
      <formula>$BG$11</formula>
    </cfRule>
    <cfRule type="cellIs" dxfId="188" priority="119" stopIfTrue="1" operator="lessThan">
      <formula>$BF$11</formula>
    </cfRule>
  </conditionalFormatting>
  <conditionalFormatting sqref="H12">
    <cfRule type="cellIs" dxfId="187" priority="116" stopIfTrue="1" operator="greaterThan">
      <formula>$BG$12</formula>
    </cfRule>
    <cfRule type="cellIs" dxfId="186" priority="117" stopIfTrue="1" operator="lessThan">
      <formula>$BF$12</formula>
    </cfRule>
  </conditionalFormatting>
  <conditionalFormatting sqref="I9:I12">
    <cfRule type="cellIs" dxfId="185" priority="54" stopIfTrue="1" operator="notBetween">
      <formula>$I$26</formula>
      <formula>$I$27</formula>
    </cfRule>
  </conditionalFormatting>
  <conditionalFormatting sqref="I15:I18">
    <cfRule type="cellIs" dxfId="184" priority="61" stopIfTrue="1" operator="notBetween">
      <formula>$I$26</formula>
      <formula>$I$27</formula>
    </cfRule>
  </conditionalFormatting>
  <conditionalFormatting sqref="J15:J18 J9:J12">
    <cfRule type="cellIs" dxfId="183" priority="45" stopIfTrue="1" operator="notBetween">
      <formula>$J$26</formula>
      <formula>$J$27</formula>
    </cfRule>
  </conditionalFormatting>
  <conditionalFormatting sqref="K15:K18 K9:K12">
    <cfRule type="cellIs" dxfId="182" priority="113" stopIfTrue="1" operator="notBetween">
      <formula>$K$26</formula>
      <formula>$K$27</formula>
    </cfRule>
  </conditionalFormatting>
  <conditionalFormatting sqref="L15:L18 L9:L12">
    <cfRule type="cellIs" dxfId="181" priority="112" stopIfTrue="1" operator="notBetween">
      <formula>$L$26</formula>
      <formula>$L$27</formula>
    </cfRule>
  </conditionalFormatting>
  <conditionalFormatting sqref="N15:N18 N9:N12">
    <cfRule type="cellIs" dxfId="180" priority="70" stopIfTrue="1" operator="notBetween">
      <formula>$N$26</formula>
      <formula>$N$27</formula>
    </cfRule>
  </conditionalFormatting>
  <conditionalFormatting sqref="O15:O18 O9:O12">
    <cfRule type="cellIs" dxfId="179" priority="44" stopIfTrue="1" operator="notBetween">
      <formula>$O$26</formula>
      <formula>$O$27</formula>
    </cfRule>
  </conditionalFormatting>
  <conditionalFormatting sqref="P15:P18 P9:P12">
    <cfRule type="cellIs" dxfId="178" priority="111" stopIfTrue="1" operator="notBetween">
      <formula>$P$26</formula>
      <formula>$P$27</formula>
    </cfRule>
  </conditionalFormatting>
  <conditionalFormatting sqref="R15:R18 R9:R12">
    <cfRule type="cellIs" dxfId="177" priority="109" stopIfTrue="1" operator="notBetween">
      <formula>$R$26</formula>
      <formula>$R$27</formula>
    </cfRule>
  </conditionalFormatting>
  <conditionalFormatting sqref="S15:S18 S9:S12">
    <cfRule type="cellIs" dxfId="176" priority="108" stopIfTrue="1" operator="notBetween">
      <formula>$S$26</formula>
      <formula>$S$27</formula>
    </cfRule>
  </conditionalFormatting>
  <conditionalFormatting sqref="T15:T18 T9:T12">
    <cfRule type="cellIs" dxfId="175" priority="43" stopIfTrue="1" operator="notBetween">
      <formula>$T$26</formula>
      <formula>$T$27</formula>
    </cfRule>
  </conditionalFormatting>
  <conditionalFormatting sqref="U15:U18 U9:U12">
    <cfRule type="cellIs" dxfId="174" priority="107" stopIfTrue="1" operator="notBetween">
      <formula>$U$26</formula>
      <formula>$U$27</formula>
    </cfRule>
  </conditionalFormatting>
  <conditionalFormatting sqref="V15:V18 V9:V12">
    <cfRule type="cellIs" dxfId="173" priority="42" stopIfTrue="1" operator="notBetween">
      <formula>$V$26</formula>
      <formula>$V$27</formula>
    </cfRule>
  </conditionalFormatting>
  <conditionalFormatting sqref="Y15:Y18 Y9:Y12">
    <cfRule type="cellIs" dxfId="172" priority="59" stopIfTrue="1" operator="notBetween">
      <formula>$Y$26</formula>
      <formula>$Y$27</formula>
    </cfRule>
  </conditionalFormatting>
  <conditionalFormatting sqref="Z15:Z18 Z9:Z12">
    <cfRule type="cellIs" dxfId="171" priority="104" stopIfTrue="1" operator="notBetween">
      <formula>$Z$26</formula>
      <formula>$Z$27</formula>
    </cfRule>
  </conditionalFormatting>
  <conditionalFormatting sqref="AA15:AA18 AA9:AA12">
    <cfRule type="cellIs" dxfId="170" priority="103" stopIfTrue="1" operator="notBetween">
      <formula>$AA$26</formula>
      <formula>$AA$27</formula>
    </cfRule>
  </conditionalFormatting>
  <conditionalFormatting sqref="AB15:AB18 AB9:AB12">
    <cfRule type="cellIs" dxfId="169" priority="102" stopIfTrue="1" operator="notBetween">
      <formula>$AB$26</formula>
      <formula>$AB$27</formula>
    </cfRule>
  </conditionalFormatting>
  <conditionalFormatting sqref="AC15:AC18 AC9:AC12">
    <cfRule type="cellIs" dxfId="168" priority="37" stopIfTrue="1" operator="notBetween">
      <formula>$AC$26</formula>
      <formula>$AC$27</formula>
    </cfRule>
  </conditionalFormatting>
  <conditionalFormatting sqref="AD15:AD18 AD9:AD12">
    <cfRule type="cellIs" dxfId="167" priority="49" stopIfTrue="1" operator="notBetween">
      <formula>$AD$26</formula>
      <formula>$AD$27</formula>
    </cfRule>
  </conditionalFormatting>
  <conditionalFormatting sqref="AE15:AE18 AE9:AE12">
    <cfRule type="cellIs" dxfId="166" priority="36" stopIfTrue="1" operator="notBetween">
      <formula>$AE$26</formula>
      <formula>$AE$27</formula>
    </cfRule>
  </conditionalFormatting>
  <conditionalFormatting sqref="AF15:AF18 AF9:AF12">
    <cfRule type="cellIs" dxfId="165" priority="101" stopIfTrue="1" operator="notBetween">
      <formula>$AF$26</formula>
      <formula>$AF$27</formula>
    </cfRule>
  </conditionalFormatting>
  <conditionalFormatting sqref="AG15:AG18 AG9:AG12">
    <cfRule type="cellIs" dxfId="164" priority="35" stopIfTrue="1" operator="notBetween">
      <formula>$AG$26</formula>
      <formula>$AG$27</formula>
    </cfRule>
  </conditionalFormatting>
  <conditionalFormatting sqref="AH9:AH12">
    <cfRule type="cellIs" dxfId="163" priority="98" stopIfTrue="1" operator="notBetween">
      <formula>$AH$26</formula>
      <formula>$AH$27</formula>
    </cfRule>
  </conditionalFormatting>
  <conditionalFormatting sqref="AH15:AH18">
    <cfRule type="cellIs" dxfId="162" priority="100" stopIfTrue="1" operator="notBetween">
      <formula>$AH$26</formula>
      <formula>$AH$27</formula>
    </cfRule>
  </conditionalFormatting>
  <conditionalFormatting sqref="AI9:AI12">
    <cfRule type="cellIs" dxfId="161" priority="33" stopIfTrue="1" operator="notBetween">
      <formula>$AI$26</formula>
      <formula>$AI$27</formula>
    </cfRule>
  </conditionalFormatting>
  <conditionalFormatting sqref="AI15:AI18">
    <cfRule type="cellIs" dxfId="160" priority="34" stopIfTrue="1" operator="notBetween">
      <formula>$AI$26</formula>
      <formula>$AI$27</formula>
    </cfRule>
  </conditionalFormatting>
  <conditionalFormatting sqref="AJ12 AJ9:AJ10 AJ15:AJ18">
    <cfRule type="cellIs" dxfId="159" priority="94" stopIfTrue="1" operator="notBetween">
      <formula>$AJ$26</formula>
      <formula>$AJ$27</formula>
    </cfRule>
  </conditionalFormatting>
  <conditionalFormatting sqref="AK9:AK12">
    <cfRule type="cellIs" dxfId="158" priority="90" stopIfTrue="1" operator="notBetween">
      <formula>$AK$26</formula>
      <formula>$AK$27</formula>
    </cfRule>
  </conditionalFormatting>
  <conditionalFormatting sqref="AK15:AK18">
    <cfRule type="cellIs" dxfId="157" priority="93" stopIfTrue="1" operator="notBetween">
      <formula>$AK$26</formula>
      <formula>$AK$27</formula>
    </cfRule>
  </conditionalFormatting>
  <conditionalFormatting sqref="AL9:AL12">
    <cfRule type="cellIs" dxfId="156" priority="84" stopIfTrue="1" operator="notBetween">
      <formula>$AL$26</formula>
      <formula>$AL$27</formula>
    </cfRule>
  </conditionalFormatting>
  <conditionalFormatting sqref="AL15:AL18">
    <cfRule type="cellIs" dxfId="155" priority="89" stopIfTrue="1" operator="notBetween">
      <formula>$AL$26</formula>
      <formula>$AL$27</formula>
    </cfRule>
  </conditionalFormatting>
  <conditionalFormatting sqref="AM15:AM18 AM9:AM12">
    <cfRule type="cellIs" dxfId="154" priority="83" stopIfTrue="1" operator="notBetween">
      <formula>$AM$26</formula>
      <formula>$AM$27</formula>
    </cfRule>
  </conditionalFormatting>
  <conditionalFormatting sqref="AN15:AN18 AN9:AN12">
    <cfRule type="cellIs" dxfId="153" priority="82" stopIfTrue="1" operator="notBetween">
      <formula>$AN$26</formula>
      <formula>$AN$27</formula>
    </cfRule>
  </conditionalFormatting>
  <conditionalFormatting sqref="AO15:AO18 AO9:AO12">
    <cfRule type="cellIs" dxfId="152" priority="81" stopIfTrue="1" operator="notBetween">
      <formula>$AO$26</formula>
      <formula>$AO$27</formula>
    </cfRule>
  </conditionalFormatting>
  <conditionalFormatting sqref="AP15:AP18 AP9:AP12">
    <cfRule type="cellIs" dxfId="151" priority="80" stopIfTrue="1" operator="notBetween">
      <formula>$AP$26</formula>
      <formula>$AP$27</formula>
    </cfRule>
  </conditionalFormatting>
  <conditionalFormatting sqref="AQ15:AQ18 AQ9:AQ12">
    <cfRule type="cellIs" dxfId="150" priority="30" stopIfTrue="1" operator="notBetween">
      <formula>$AQ$26</formula>
      <formula>$AQ$27</formula>
    </cfRule>
  </conditionalFormatting>
  <conditionalFormatting sqref="AR15:AR18 AR9:AR12">
    <cfRule type="cellIs" dxfId="149" priority="78" stopIfTrue="1" operator="notBetween">
      <formula>$AR$26</formula>
      <formula>$AR$27</formula>
    </cfRule>
  </conditionalFormatting>
  <conditionalFormatting sqref="AS15:AS18 AS9:AS12">
    <cfRule type="cellIs" dxfId="148" priority="29" stopIfTrue="1" operator="notBetween">
      <formula>$AS$26</formula>
      <formula>$AS$27</formula>
    </cfRule>
  </conditionalFormatting>
  <conditionalFormatting sqref="AT9:AT12">
    <cfRule type="cellIs" dxfId="147" priority="76" stopIfTrue="1" operator="notBetween">
      <formula>$AT$26</formula>
      <formula>$AT$27</formula>
    </cfRule>
  </conditionalFormatting>
  <conditionalFormatting sqref="AT15:AT18">
    <cfRule type="cellIs" dxfId="146" priority="77" stopIfTrue="1" operator="notBetween">
      <formula>$AT$26</formula>
      <formula>$AT$27</formula>
    </cfRule>
  </conditionalFormatting>
  <conditionalFormatting sqref="AU15:AU18 AU8:AU12">
    <cfRule type="cellIs" dxfId="145" priority="15" stopIfTrue="1" operator="notBetween">
      <formula>$AU$26</formula>
      <formula>$AU$27</formula>
    </cfRule>
  </conditionalFormatting>
  <conditionalFormatting sqref="AV15:AV18 AV9:AV12">
    <cfRule type="cellIs" dxfId="144" priority="75" stopIfTrue="1" operator="notBetween">
      <formula>$AV$26</formula>
      <formula>$AV$27</formula>
    </cfRule>
  </conditionalFormatting>
  <conditionalFormatting sqref="AW15:AW18 AW9:AW12">
    <cfRule type="cellIs" dxfId="143" priority="16" stopIfTrue="1" operator="notBetween">
      <formula>$AW$26</formula>
      <formula>$AW$27</formula>
    </cfRule>
  </conditionalFormatting>
  <conditionalFormatting sqref="AX9:AX12">
    <cfRule type="cellIs" dxfId="142" priority="1" stopIfTrue="1" operator="notBetween">
      <formula>$AX$26</formula>
      <formula>$AX$27</formula>
    </cfRule>
  </conditionalFormatting>
  <conditionalFormatting sqref="AX15:AX18">
    <cfRule type="cellIs" dxfId="141" priority="2" stopIfTrue="1" operator="notBetween">
      <formula>$AX$26</formula>
      <formula>$AX$27</formula>
    </cfRule>
  </conditionalFormatting>
  <conditionalFormatting sqref="AY9:AY12">
    <cfRule type="cellIs" dxfId="140" priority="72" stopIfTrue="1" operator="notBetween">
      <formula>$AY$26</formula>
      <formula>$AY$27</formula>
    </cfRule>
  </conditionalFormatting>
  <conditionalFormatting sqref="AY15:AY18">
    <cfRule type="cellIs" dxfId="139" priority="74" stopIfTrue="1" operator="notBetween">
      <formula>$AY$26</formula>
      <formula>$AY$27</formula>
    </cfRule>
  </conditionalFormatting>
  <conditionalFormatting sqref="BF8:BM8 BF13:BM14 BF19:BM20">
    <cfRule type="cellIs" dxfId="138" priority="130" stopIfTrue="1" operator="equal">
      <formula>$A$32</formula>
    </cfRule>
  </conditionalFormatting>
  <conditionalFormatting sqref="BF15:BM18 BF9:BM12">
    <cfRule type="cellIs" dxfId="137" priority="129" stopIfTrue="1" operator="equal">
      <formula>$A$32</formula>
    </cfRule>
  </conditionalFormatting>
  <conditionalFormatting sqref="E9:E12">
    <cfRule type="cellIs" dxfId="136" priority="5504" stopIfTrue="1" operator="notBetween">
      <formula>$E$26</formula>
      <formula>$E$27</formula>
    </cfRule>
  </conditionalFormatting>
  <conditionalFormatting sqref="AZ9:AZ12 AZ14:AZ18">
    <cfRule type="expression" dxfId="135" priority="6055" stopIfTrue="1">
      <formula>NOT(AND($AZ9-ultimoDiaTrim&gt;=$AZ$27,$AZ9-ultimoDiaTrim&lt;=$AZ$26))</formula>
    </cfRule>
  </conditionalFormatting>
  <conditionalFormatting sqref="BA9:BA12 BA14:BA18">
    <cfRule type="expression" dxfId="134" priority="6057" stopIfTrue="1">
      <formula>NOT(AND($BA9-ultimoDiaTrim&gt;=$BA$27,$BA9-ultimoDiaTrim&lt;=$BA$26))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FL33"/>
  <sheetViews>
    <sheetView topLeftCell="C5" zoomScale="85" zoomScaleNormal="85" workbookViewId="0">
      <selection activeCell="C25" sqref="C25"/>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hidden="1" customWidth="1"/>
    <col min="6" max="6" width="15.85546875" style="470" hidden="1" customWidth="1"/>
    <col min="7" max="7" width="13.5703125" style="470" hidden="1" customWidth="1"/>
    <col min="8" max="8" width="14.28515625" style="470" hidden="1"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6" customWidth="1"/>
    <col min="26" max="26" width="12.85546875" style="470" hidden="1"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hidden="1"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69" width="13.42578125" style="470" customWidth="1"/>
    <col min="70" max="71" width="13.42578125" style="470" hidden="1" customWidth="1"/>
    <col min="72" max="72" width="14.85546875" style="470" customWidth="1"/>
    <col min="73" max="74" width="14.85546875" style="470" hidden="1" customWidth="1"/>
    <col min="75" max="76" width="14.28515625" style="470" hidden="1" customWidth="1"/>
    <col min="77" max="82" width="13" style="470" hidden="1" customWidth="1"/>
    <col min="83" max="106" width="14.85546875" style="470" hidden="1" customWidth="1"/>
    <col min="107" max="164" width="14.85546875" style="1253" hidden="1" customWidth="1"/>
    <col min="165" max="165" width="11.42578125" style="470" customWidth="1"/>
    <col min="166" max="167" width="11.42578125" style="470"/>
    <col min="168" max="168" width="0" style="1021" hidden="1" customWidth="1"/>
    <col min="169" max="16384" width="11.42578125" style="470"/>
  </cols>
  <sheetData>
    <row r="1" spans="1:168">
      <c r="C1" s="1099" t="str">
        <f>Criterios!A9 &amp;"  "&amp;Criterios!B9</f>
        <v>Tribunales de Justicia  ANDALUCIA</v>
      </c>
    </row>
    <row r="2" spans="1:168" ht="16.5" customHeight="1">
      <c r="C2" s="487" t="str">
        <f>Criterios!A10 &amp;"  "&amp;Criterios!B10 &amp; "  " &amp; IF(NOT(ISBLANK(Criterios!A11)),Criterios!A11 &amp;"  "&amp;Criterios!B11,"")</f>
        <v>Provincias  CADIZ  Resumenes por Partidos Judiciales  SAN ROQUE</v>
      </c>
      <c r="D2" s="487"/>
      <c r="E2" s="488"/>
      <c r="F2" s="488"/>
      <c r="G2" s="489"/>
      <c r="I2" s="488"/>
      <c r="J2" s="261"/>
      <c r="K2" s="261"/>
      <c r="L2" s="488"/>
      <c r="M2" s="488"/>
      <c r="N2" s="488"/>
      <c r="O2" s="581"/>
      <c r="P2" s="581"/>
      <c r="Q2" s="488"/>
      <c r="U2" s="488"/>
      <c r="V2" s="490"/>
      <c r="Y2" s="602"/>
    </row>
    <row r="3" spans="1:168" ht="30" customHeight="1">
      <c r="C3" s="1456" t="s">
        <v>997</v>
      </c>
      <c r="D3" s="492"/>
      <c r="G3" s="489"/>
      <c r="I3" s="488"/>
      <c r="FL3" s="470"/>
    </row>
    <row r="4" spans="1:168" ht="17.25" customHeight="1" thickBot="1">
      <c r="C4" s="611"/>
      <c r="D4" s="493"/>
      <c r="E4" s="494"/>
      <c r="F4" s="494"/>
      <c r="G4" s="494"/>
      <c r="H4" s="494"/>
      <c r="I4" s="494"/>
      <c r="J4" s="329"/>
      <c r="K4" s="329"/>
      <c r="L4" s="494"/>
      <c r="M4" s="494"/>
      <c r="N4" s="494"/>
      <c r="O4" s="581"/>
      <c r="P4" s="494"/>
      <c r="Q4" s="494"/>
      <c r="R4" s="494"/>
      <c r="S4" s="490"/>
      <c r="T4" s="490"/>
      <c r="U4" s="494"/>
      <c r="V4" s="494"/>
      <c r="Y4" s="602"/>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W4" s="494"/>
      <c r="BX4" s="494"/>
      <c r="CE4" s="494"/>
      <c r="CF4" s="494"/>
      <c r="CG4" s="494"/>
      <c r="CH4" s="494"/>
      <c r="CI4" s="494"/>
      <c r="CJ4" s="494"/>
      <c r="CK4" s="494"/>
      <c r="CL4" s="494"/>
      <c r="CM4" s="494"/>
      <c r="CN4" s="494"/>
      <c r="CO4" s="494"/>
      <c r="CP4" s="494"/>
      <c r="CQ4" s="494"/>
      <c r="CR4" s="494"/>
      <c r="CS4" s="494"/>
      <c r="CT4" s="494"/>
      <c r="CU4" s="494"/>
      <c r="CV4" s="494"/>
      <c r="CW4" s="494"/>
      <c r="CX4" s="494"/>
      <c r="CY4" s="494"/>
      <c r="CZ4" s="494"/>
      <c r="DA4" s="494"/>
      <c r="DB4" s="494"/>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c r="EQ4" s="1269"/>
      <c r="ER4" s="1269"/>
      <c r="ES4" s="1269"/>
      <c r="ET4" s="1269"/>
      <c r="EU4" s="1269"/>
      <c r="EV4" s="1269"/>
      <c r="EW4" s="1269"/>
      <c r="EX4" s="1269"/>
      <c r="EY4" s="1269"/>
      <c r="EZ4" s="1269"/>
      <c r="FA4" s="1269"/>
      <c r="FB4" s="1269"/>
      <c r="FC4" s="1269"/>
      <c r="FD4" s="1269"/>
      <c r="FE4" s="1269"/>
      <c r="FF4" s="1269"/>
      <c r="FG4" s="1269"/>
      <c r="FH4" s="1269"/>
      <c r="FL4" s="470"/>
    </row>
    <row r="5" spans="1:168" ht="15.75" customHeight="1">
      <c r="A5" s="1542" t="s">
        <v>352</v>
      </c>
      <c r="B5" s="271"/>
      <c r="C5" s="1807"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842" t="s">
        <v>659</v>
      </c>
      <c r="Z5" s="1798" t="s">
        <v>605</v>
      </c>
      <c r="AA5" s="1854" t="s">
        <v>556</v>
      </c>
      <c r="AB5" s="1857" t="s">
        <v>557</v>
      </c>
      <c r="AC5" s="1857" t="s">
        <v>558</v>
      </c>
      <c r="AD5" s="1848" t="s">
        <v>660</v>
      </c>
      <c r="AE5" s="1848" t="s">
        <v>998</v>
      </c>
      <c r="AF5" s="1848" t="s">
        <v>672</v>
      </c>
      <c r="AG5" s="1774" t="s">
        <v>523</v>
      </c>
      <c r="AH5" s="1848" t="s">
        <v>661</v>
      </c>
      <c r="AI5" s="1848" t="s">
        <v>180</v>
      </c>
      <c r="AJ5" s="1848" t="s">
        <v>999</v>
      </c>
      <c r="AK5" s="1774" t="s">
        <v>524</v>
      </c>
      <c r="AL5" s="1774" t="s">
        <v>525</v>
      </c>
      <c r="AM5" s="1848" t="s">
        <v>677</v>
      </c>
      <c r="AN5" s="1774" t="s">
        <v>526</v>
      </c>
      <c r="AO5" s="1774" t="s">
        <v>527</v>
      </c>
      <c r="AP5" s="1774" t="s">
        <v>528</v>
      </c>
      <c r="AQ5" s="1774" t="s">
        <v>529</v>
      </c>
      <c r="AR5" s="1774" t="s">
        <v>662</v>
      </c>
      <c r="AS5" s="1774" t="s">
        <v>183</v>
      </c>
      <c r="AT5" s="1860" t="s">
        <v>181</v>
      </c>
      <c r="AU5" s="1848" t="s">
        <v>673</v>
      </c>
      <c r="AV5" s="1845" t="s">
        <v>674</v>
      </c>
      <c r="AW5" s="1777" t="s">
        <v>531</v>
      </c>
      <c r="AX5" s="1848" t="s">
        <v>532</v>
      </c>
      <c r="AY5" s="1848" t="s">
        <v>603</v>
      </c>
      <c r="AZ5" s="1851" t="s">
        <v>604</v>
      </c>
      <c r="BA5" s="1774" t="s">
        <v>560</v>
      </c>
      <c r="BB5" s="1783" t="s">
        <v>561</v>
      </c>
      <c r="BC5" s="1777" t="s">
        <v>184</v>
      </c>
      <c r="BD5" s="1774" t="s">
        <v>562</v>
      </c>
      <c r="BE5" s="1848" t="s">
        <v>248</v>
      </c>
      <c r="BF5" s="1848" t="s">
        <v>249</v>
      </c>
      <c r="BG5" s="1774" t="s">
        <v>250</v>
      </c>
      <c r="BH5" s="1848" t="s">
        <v>563</v>
      </c>
      <c r="BI5" s="1774" t="s">
        <v>251</v>
      </c>
      <c r="BJ5" s="1848" t="s">
        <v>564</v>
      </c>
      <c r="BK5" s="1774" t="s">
        <v>578</v>
      </c>
      <c r="BL5" s="1774" t="s">
        <v>565</v>
      </c>
      <c r="BM5" s="1774" t="s">
        <v>566</v>
      </c>
      <c r="BN5" s="1774" t="s">
        <v>591</v>
      </c>
      <c r="BO5" s="1774" t="s">
        <v>584</v>
      </c>
      <c r="BP5" s="1848" t="s">
        <v>795</v>
      </c>
      <c r="BQ5" s="1848" t="s">
        <v>798</v>
      </c>
      <c r="BR5" s="1774" t="s">
        <v>800</v>
      </c>
      <c r="BS5" s="1774" t="s">
        <v>585</v>
      </c>
      <c r="BT5" s="1848" t="s">
        <v>567</v>
      </c>
      <c r="BU5" s="1774" t="s">
        <v>530</v>
      </c>
      <c r="BV5" s="1771" t="s">
        <v>756</v>
      </c>
      <c r="BW5" s="1774" t="s">
        <v>124</v>
      </c>
      <c r="BX5" s="1774" t="s">
        <v>125</v>
      </c>
      <c r="BY5" s="1774" t="s">
        <v>904</v>
      </c>
      <c r="BZ5" s="1774" t="s">
        <v>905</v>
      </c>
      <c r="CA5" s="1774" t="s">
        <v>906</v>
      </c>
      <c r="CB5" s="1839" t="s">
        <v>914</v>
      </c>
      <c r="CC5" s="1839" t="s">
        <v>915</v>
      </c>
      <c r="CD5" s="1839" t="s">
        <v>916</v>
      </c>
      <c r="CE5" s="1774" t="s">
        <v>912</v>
      </c>
      <c r="CF5" s="1774" t="s">
        <v>913</v>
      </c>
      <c r="CG5" s="1774" t="s">
        <v>907</v>
      </c>
      <c r="CH5" s="1839" t="s">
        <v>917</v>
      </c>
      <c r="CI5" s="1839" t="s">
        <v>918</v>
      </c>
      <c r="CJ5" s="1839" t="s">
        <v>919</v>
      </c>
      <c r="CK5" s="1774" t="s">
        <v>920</v>
      </c>
      <c r="CL5" s="1774" t="s">
        <v>921</v>
      </c>
      <c r="CM5" s="1774" t="s">
        <v>922</v>
      </c>
      <c r="CN5" s="1839" t="s">
        <v>923</v>
      </c>
      <c r="CO5" s="1839" t="s">
        <v>924</v>
      </c>
      <c r="CP5" s="1839" t="s">
        <v>925</v>
      </c>
      <c r="CQ5" s="1774" t="s">
        <v>908</v>
      </c>
      <c r="CR5" s="1774" t="s">
        <v>909</v>
      </c>
      <c r="CS5" s="1774" t="s">
        <v>910</v>
      </c>
      <c r="CT5" s="1774" t="s">
        <v>911</v>
      </c>
      <c r="CU5" s="1839" t="s">
        <v>926</v>
      </c>
      <c r="CV5" s="1839" t="s">
        <v>927</v>
      </c>
      <c r="CW5" s="1839" t="s">
        <v>928</v>
      </c>
      <c r="CX5" s="1839" t="s">
        <v>929</v>
      </c>
      <c r="CY5" s="1774" t="s">
        <v>930</v>
      </c>
      <c r="CZ5" s="1774" t="s">
        <v>931</v>
      </c>
      <c r="DA5" s="1774" t="s">
        <v>932</v>
      </c>
      <c r="DB5" s="1774" t="s">
        <v>933</v>
      </c>
      <c r="DC5" s="1839" t="s">
        <v>934</v>
      </c>
      <c r="DD5" s="1839" t="s">
        <v>935</v>
      </c>
      <c r="DE5" s="1839" t="s">
        <v>936</v>
      </c>
      <c r="DF5" s="1839" t="s">
        <v>937</v>
      </c>
      <c r="DG5" s="1774" t="s">
        <v>938</v>
      </c>
      <c r="DH5" s="1774" t="s">
        <v>939</v>
      </c>
      <c r="DI5" s="1774" t="s">
        <v>940</v>
      </c>
      <c r="DJ5" s="1774" t="s">
        <v>941</v>
      </c>
      <c r="DK5" s="1839" t="s">
        <v>942</v>
      </c>
      <c r="DL5" s="1839" t="s">
        <v>943</v>
      </c>
      <c r="DM5" s="1839" t="s">
        <v>944</v>
      </c>
      <c r="DN5" s="1839" t="s">
        <v>945</v>
      </c>
      <c r="DO5" s="1774" t="s">
        <v>946</v>
      </c>
      <c r="DP5" s="1774" t="s">
        <v>947</v>
      </c>
      <c r="DQ5" s="1774" t="s">
        <v>948</v>
      </c>
      <c r="DR5" s="1774" t="s">
        <v>949</v>
      </c>
      <c r="DS5" s="1839" t="s">
        <v>950</v>
      </c>
      <c r="DT5" s="1839" t="s">
        <v>951</v>
      </c>
      <c r="DU5" s="1839" t="s">
        <v>952</v>
      </c>
      <c r="DV5" s="1839" t="s">
        <v>953</v>
      </c>
      <c r="DW5" s="1774" t="s">
        <v>954</v>
      </c>
      <c r="DX5" s="1774" t="s">
        <v>955</v>
      </c>
      <c r="DY5" s="1774" t="s">
        <v>956</v>
      </c>
      <c r="DZ5" s="1774" t="s">
        <v>957</v>
      </c>
      <c r="EA5" s="1839" t="s">
        <v>958</v>
      </c>
      <c r="EB5" s="1839" t="s">
        <v>959</v>
      </c>
      <c r="EC5" s="1839" t="s">
        <v>960</v>
      </c>
      <c r="ED5" s="1839" t="s">
        <v>961</v>
      </c>
      <c r="EE5" s="1774" t="s">
        <v>962</v>
      </c>
      <c r="EF5" s="1774" t="s">
        <v>963</v>
      </c>
      <c r="EG5" s="1774" t="s">
        <v>964</v>
      </c>
      <c r="EH5" s="1774" t="s">
        <v>965</v>
      </c>
      <c r="EI5" s="1839" t="s">
        <v>966</v>
      </c>
      <c r="EJ5" s="1839" t="s">
        <v>967</v>
      </c>
      <c r="EK5" s="1839" t="s">
        <v>968</v>
      </c>
      <c r="EL5" s="1839" t="s">
        <v>969</v>
      </c>
      <c r="EM5" s="1774" t="s">
        <v>970</v>
      </c>
      <c r="EN5" s="1774" t="s">
        <v>971</v>
      </c>
      <c r="EO5" s="1774" t="s">
        <v>972</v>
      </c>
      <c r="EP5" s="1774" t="s">
        <v>973</v>
      </c>
      <c r="EQ5" s="1774" t="s">
        <v>974</v>
      </c>
      <c r="ER5" s="1774" t="s">
        <v>975</v>
      </c>
      <c r="ES5" s="1774" t="s">
        <v>976</v>
      </c>
      <c r="ET5" s="1774" t="s">
        <v>977</v>
      </c>
      <c r="EU5" s="1774" t="s">
        <v>980</v>
      </c>
      <c r="EV5" s="1774" t="s">
        <v>978</v>
      </c>
      <c r="EW5" s="1774" t="s">
        <v>979</v>
      </c>
      <c r="EX5" s="1774" t="s">
        <v>981</v>
      </c>
      <c r="EY5" s="1774" t="s">
        <v>982</v>
      </c>
      <c r="EZ5" s="1774" t="s">
        <v>983</v>
      </c>
      <c r="FA5" s="1774" t="s">
        <v>984</v>
      </c>
      <c r="FB5" s="1774" t="s">
        <v>987</v>
      </c>
      <c r="FC5" s="1774" t="s">
        <v>985</v>
      </c>
      <c r="FD5" s="1774" t="s">
        <v>986</v>
      </c>
      <c r="FE5" s="1774" t="s">
        <v>988</v>
      </c>
      <c r="FF5" s="1774" t="s">
        <v>989</v>
      </c>
      <c r="FG5" s="1774" t="s">
        <v>990</v>
      </c>
      <c r="FH5" s="1774" t="s">
        <v>991</v>
      </c>
      <c r="FL5" s="470"/>
    </row>
    <row r="6" spans="1:168" ht="21.75" customHeight="1">
      <c r="A6" s="1543"/>
      <c r="B6" s="272"/>
      <c r="C6" s="1808"/>
      <c r="D6" s="1775"/>
      <c r="E6" s="1775"/>
      <c r="F6" s="1810"/>
      <c r="G6" s="1775"/>
      <c r="H6" s="1775"/>
      <c r="I6" s="1849"/>
      <c r="J6" s="1775"/>
      <c r="K6" s="1775"/>
      <c r="L6" s="1775"/>
      <c r="M6" s="1775"/>
      <c r="N6" s="1775"/>
      <c r="O6" s="1805"/>
      <c r="P6" s="1775"/>
      <c r="Q6" s="1775"/>
      <c r="R6" s="1775"/>
      <c r="S6" s="1793"/>
      <c r="T6" s="1793"/>
      <c r="U6" s="1775"/>
      <c r="V6" s="1793"/>
      <c r="W6" s="1775"/>
      <c r="X6" s="1775"/>
      <c r="Y6" s="1843"/>
      <c r="Z6" s="1799"/>
      <c r="AA6" s="1855"/>
      <c r="AB6" s="1858"/>
      <c r="AC6" s="1858"/>
      <c r="AD6" s="1849"/>
      <c r="AE6" s="1849"/>
      <c r="AF6" s="1849"/>
      <c r="AG6" s="1775"/>
      <c r="AH6" s="1849"/>
      <c r="AI6" s="1849"/>
      <c r="AJ6" s="1849"/>
      <c r="AK6" s="1775"/>
      <c r="AL6" s="1775"/>
      <c r="AM6" s="1849"/>
      <c r="AN6" s="1775"/>
      <c r="AO6" s="1775"/>
      <c r="AP6" s="1775"/>
      <c r="AQ6" s="1775"/>
      <c r="AR6" s="1775"/>
      <c r="AS6" s="1775"/>
      <c r="AT6" s="1861"/>
      <c r="AU6" s="1849"/>
      <c r="AV6" s="1846"/>
      <c r="AW6" s="1778"/>
      <c r="AX6" s="1849"/>
      <c r="AY6" s="1849"/>
      <c r="AZ6" s="1852"/>
      <c r="BA6" s="1775"/>
      <c r="BB6" s="1784"/>
      <c r="BC6" s="1778"/>
      <c r="BD6" s="1775"/>
      <c r="BE6" s="1849"/>
      <c r="BF6" s="1849"/>
      <c r="BG6" s="1775"/>
      <c r="BH6" s="1849"/>
      <c r="BI6" s="1775"/>
      <c r="BJ6" s="1849"/>
      <c r="BK6" s="1775"/>
      <c r="BL6" s="1775"/>
      <c r="BM6" s="1775"/>
      <c r="BN6" s="1775"/>
      <c r="BO6" s="1775"/>
      <c r="BP6" s="1849"/>
      <c r="BQ6" s="1849"/>
      <c r="BR6" s="1775"/>
      <c r="BS6" s="1775"/>
      <c r="BT6" s="1849"/>
      <c r="BU6" s="1775"/>
      <c r="BV6" s="1772"/>
      <c r="BW6" s="1775"/>
      <c r="BX6" s="1775"/>
      <c r="BY6" s="1775"/>
      <c r="BZ6" s="1775"/>
      <c r="CA6" s="1775"/>
      <c r="CB6" s="1840"/>
      <c r="CC6" s="1840"/>
      <c r="CD6" s="1840"/>
      <c r="CE6" s="1775"/>
      <c r="CF6" s="1775"/>
      <c r="CG6" s="1775"/>
      <c r="CH6" s="1840"/>
      <c r="CI6" s="1840"/>
      <c r="CJ6" s="1840"/>
      <c r="CK6" s="1775"/>
      <c r="CL6" s="1775"/>
      <c r="CM6" s="1775"/>
      <c r="CN6" s="1840"/>
      <c r="CO6" s="1840"/>
      <c r="CP6" s="1840"/>
      <c r="CQ6" s="1775"/>
      <c r="CR6" s="1775"/>
      <c r="CS6" s="1775"/>
      <c r="CT6" s="1775"/>
      <c r="CU6" s="1840"/>
      <c r="CV6" s="1840"/>
      <c r="CW6" s="1840"/>
      <c r="CX6" s="1840"/>
      <c r="CY6" s="1775"/>
      <c r="CZ6" s="1775"/>
      <c r="DA6" s="1775"/>
      <c r="DB6" s="1775"/>
      <c r="DC6" s="1840"/>
      <c r="DD6" s="1840"/>
      <c r="DE6" s="1840"/>
      <c r="DF6" s="1840"/>
      <c r="DG6" s="1775"/>
      <c r="DH6" s="1775"/>
      <c r="DI6" s="1775"/>
      <c r="DJ6" s="1775"/>
      <c r="DK6" s="1840"/>
      <c r="DL6" s="1840"/>
      <c r="DM6" s="1840"/>
      <c r="DN6" s="1840"/>
      <c r="DO6" s="1775"/>
      <c r="DP6" s="1775"/>
      <c r="DQ6" s="1775"/>
      <c r="DR6" s="1775"/>
      <c r="DS6" s="1840"/>
      <c r="DT6" s="1840"/>
      <c r="DU6" s="1840"/>
      <c r="DV6" s="1840"/>
      <c r="DW6" s="1775"/>
      <c r="DX6" s="1775"/>
      <c r="DY6" s="1775"/>
      <c r="DZ6" s="1775"/>
      <c r="EA6" s="1840"/>
      <c r="EB6" s="1840"/>
      <c r="EC6" s="1840"/>
      <c r="ED6" s="1840"/>
      <c r="EE6" s="1775"/>
      <c r="EF6" s="1775"/>
      <c r="EG6" s="1775"/>
      <c r="EH6" s="1775"/>
      <c r="EI6" s="1840"/>
      <c r="EJ6" s="1840"/>
      <c r="EK6" s="1840"/>
      <c r="EL6" s="1840"/>
      <c r="EM6" s="1775"/>
      <c r="EN6" s="1775"/>
      <c r="EO6" s="1775"/>
      <c r="EP6" s="1775"/>
      <c r="EQ6" s="1775"/>
      <c r="ER6" s="1775"/>
      <c r="ES6" s="1775"/>
      <c r="ET6" s="1775"/>
      <c r="EU6" s="1775"/>
      <c r="EV6" s="1775"/>
      <c r="EW6" s="1775"/>
      <c r="EX6" s="1775"/>
      <c r="EY6" s="1775"/>
      <c r="EZ6" s="1775"/>
      <c r="FA6" s="1775"/>
      <c r="FB6" s="1775"/>
      <c r="FC6" s="1775"/>
      <c r="FD6" s="1775"/>
      <c r="FE6" s="1775"/>
      <c r="FF6" s="1775"/>
      <c r="FG6" s="1775"/>
      <c r="FH6" s="1775"/>
      <c r="FL6" s="470"/>
    </row>
    <row r="7" spans="1:168" ht="38.25" customHeight="1" thickBot="1">
      <c r="A7" s="1544"/>
      <c r="B7" s="273"/>
      <c r="C7" s="263" t="str">
        <f>Datos!A7</f>
        <v>COMPETENCIAS</v>
      </c>
      <c r="D7" s="1776"/>
      <c r="E7" s="1776"/>
      <c r="F7" s="1811"/>
      <c r="G7" s="1776"/>
      <c r="H7" s="1776"/>
      <c r="I7" s="1850"/>
      <c r="J7" s="1776"/>
      <c r="K7" s="1776"/>
      <c r="L7" s="1776"/>
      <c r="M7" s="1776"/>
      <c r="N7" s="1776"/>
      <c r="O7" s="1806"/>
      <c r="P7" s="1776"/>
      <c r="Q7" s="1776"/>
      <c r="R7" s="1776"/>
      <c r="S7" s="1794"/>
      <c r="T7" s="1794"/>
      <c r="U7" s="1776"/>
      <c r="V7" s="1794"/>
      <c r="W7" s="1776"/>
      <c r="X7" s="1776"/>
      <c r="Y7" s="1844"/>
      <c r="Z7" s="1800"/>
      <c r="AA7" s="1856"/>
      <c r="AB7" s="1859"/>
      <c r="AC7" s="1859"/>
      <c r="AD7" s="1850"/>
      <c r="AE7" s="1850"/>
      <c r="AF7" s="1850"/>
      <c r="AG7" s="1776"/>
      <c r="AH7" s="1850"/>
      <c r="AI7" s="1850"/>
      <c r="AJ7" s="1850"/>
      <c r="AK7" s="1776"/>
      <c r="AL7" s="1776"/>
      <c r="AM7" s="1850"/>
      <c r="AN7" s="1776"/>
      <c r="AO7" s="1776"/>
      <c r="AP7" s="1776"/>
      <c r="AQ7" s="1776"/>
      <c r="AR7" s="1776"/>
      <c r="AS7" s="1776"/>
      <c r="AT7" s="1862"/>
      <c r="AU7" s="1850"/>
      <c r="AV7" s="1847"/>
      <c r="AW7" s="1779"/>
      <c r="AX7" s="1850"/>
      <c r="AY7" s="1850"/>
      <c r="AZ7" s="1853"/>
      <c r="BA7" s="1776"/>
      <c r="BB7" s="1785"/>
      <c r="BC7" s="1779"/>
      <c r="BD7" s="1776"/>
      <c r="BE7" s="1850"/>
      <c r="BF7" s="1850"/>
      <c r="BG7" s="1776"/>
      <c r="BH7" s="1850"/>
      <c r="BI7" s="1776"/>
      <c r="BJ7" s="1850"/>
      <c r="BK7" s="1776"/>
      <c r="BL7" s="1776"/>
      <c r="BM7" s="1776"/>
      <c r="BN7" s="1776"/>
      <c r="BO7" s="1776"/>
      <c r="BP7" s="1850"/>
      <c r="BQ7" s="1850"/>
      <c r="BR7" s="1776"/>
      <c r="BS7" s="1776"/>
      <c r="BT7" s="1850"/>
      <c r="BU7" s="1776"/>
      <c r="BV7" s="1773"/>
      <c r="BW7" s="1776"/>
      <c r="BX7" s="1776"/>
      <c r="BY7" s="1776"/>
      <c r="BZ7" s="1776"/>
      <c r="CA7" s="1776"/>
      <c r="CB7" s="1841"/>
      <c r="CC7" s="1841"/>
      <c r="CD7" s="1841"/>
      <c r="CE7" s="1776"/>
      <c r="CF7" s="1776"/>
      <c r="CG7" s="1776"/>
      <c r="CH7" s="1841"/>
      <c r="CI7" s="1841"/>
      <c r="CJ7" s="1841"/>
      <c r="CK7" s="1776"/>
      <c r="CL7" s="1776"/>
      <c r="CM7" s="1776"/>
      <c r="CN7" s="1841"/>
      <c r="CO7" s="1841"/>
      <c r="CP7" s="1841"/>
      <c r="CQ7" s="1776"/>
      <c r="CR7" s="1776"/>
      <c r="CS7" s="1776"/>
      <c r="CT7" s="1776"/>
      <c r="CU7" s="1841"/>
      <c r="CV7" s="1841"/>
      <c r="CW7" s="1841"/>
      <c r="CX7" s="1841"/>
      <c r="CY7" s="1776"/>
      <c r="CZ7" s="1776"/>
      <c r="DA7" s="1776"/>
      <c r="DB7" s="1776"/>
      <c r="DC7" s="1841"/>
      <c r="DD7" s="1841"/>
      <c r="DE7" s="1841"/>
      <c r="DF7" s="1841"/>
      <c r="DG7" s="1776"/>
      <c r="DH7" s="1776"/>
      <c r="DI7" s="1776"/>
      <c r="DJ7" s="1776"/>
      <c r="DK7" s="1841"/>
      <c r="DL7" s="1841"/>
      <c r="DM7" s="1841"/>
      <c r="DN7" s="1841"/>
      <c r="DO7" s="1776"/>
      <c r="DP7" s="1776"/>
      <c r="DQ7" s="1776"/>
      <c r="DR7" s="1776"/>
      <c r="DS7" s="1841"/>
      <c r="DT7" s="1841"/>
      <c r="DU7" s="1841"/>
      <c r="DV7" s="1841"/>
      <c r="DW7" s="1776"/>
      <c r="DX7" s="1776"/>
      <c r="DY7" s="1776"/>
      <c r="DZ7" s="1776"/>
      <c r="EA7" s="1841"/>
      <c r="EB7" s="1841"/>
      <c r="EC7" s="1841"/>
      <c r="ED7" s="1841"/>
      <c r="EE7" s="1776"/>
      <c r="EF7" s="1776"/>
      <c r="EG7" s="1776"/>
      <c r="EH7" s="1776"/>
      <c r="EI7" s="1841"/>
      <c r="EJ7" s="1841"/>
      <c r="EK7" s="1841"/>
      <c r="EL7" s="1841"/>
      <c r="EM7" s="1776"/>
      <c r="EN7" s="1776"/>
      <c r="EO7" s="1776"/>
      <c r="EP7" s="1776"/>
      <c r="EQ7" s="1776"/>
      <c r="ER7" s="1776"/>
      <c r="ES7" s="1776"/>
      <c r="ET7" s="1776"/>
      <c r="EU7" s="1776"/>
      <c r="EV7" s="1776"/>
      <c r="EW7" s="1776"/>
      <c r="EX7" s="1776"/>
      <c r="EY7" s="1776"/>
      <c r="EZ7" s="1776"/>
      <c r="FA7" s="1776"/>
      <c r="FB7" s="1776"/>
      <c r="FC7" s="1776"/>
      <c r="FD7" s="1776"/>
      <c r="FE7" s="1776"/>
      <c r="FF7" s="1776"/>
      <c r="FG7" s="1776"/>
      <c r="FH7" s="1776"/>
      <c r="FL7" s="470"/>
    </row>
    <row r="8" spans="1:16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1"/>
      <c r="BW8" s="216"/>
      <c r="BX8" s="216"/>
      <c r="BY8" s="1184"/>
      <c r="BZ8" s="1184"/>
      <c r="CA8" s="1184"/>
      <c r="CB8" s="1184"/>
      <c r="CC8" s="1184"/>
      <c r="CD8" s="1184"/>
      <c r="CE8" s="216"/>
      <c r="CF8" s="216"/>
      <c r="CG8" s="216"/>
      <c r="CH8" s="216"/>
      <c r="CI8" s="216"/>
      <c r="CJ8" s="216"/>
      <c r="CK8" s="216"/>
      <c r="CL8" s="216"/>
      <c r="CM8" s="216"/>
      <c r="CN8" s="216"/>
      <c r="CO8" s="216"/>
      <c r="CP8" s="216"/>
      <c r="CQ8" s="216"/>
      <c r="CR8" s="216"/>
      <c r="CS8" s="216"/>
      <c r="CT8" s="216"/>
      <c r="CU8" s="216"/>
      <c r="CV8" s="216"/>
      <c r="CW8" s="216"/>
      <c r="CX8" s="216"/>
      <c r="CY8" s="216"/>
      <c r="CZ8" s="216"/>
      <c r="DA8" s="216"/>
      <c r="DB8" s="216"/>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c r="EQ8" s="1207"/>
      <c r="ER8" s="1207"/>
      <c r="ES8" s="1207"/>
      <c r="ET8" s="1207"/>
      <c r="EU8" s="1207"/>
      <c r="EV8" s="1207"/>
      <c r="EW8" s="1207"/>
      <c r="EX8" s="1207"/>
      <c r="EY8" s="1207"/>
      <c r="EZ8" s="1207"/>
      <c r="FA8" s="1207"/>
      <c r="FB8" s="1207"/>
      <c r="FC8" s="1207"/>
      <c r="FD8" s="1207"/>
      <c r="FE8" s="1207"/>
      <c r="FF8" s="1207"/>
      <c r="FG8" s="1207"/>
      <c r="FH8" s="1207"/>
    </row>
    <row r="9" spans="1:168" ht="14.25">
      <c r="A9" s="500">
        <f>Datos!AO9</f>
        <v>0</v>
      </c>
      <c r="B9" s="500" t="s">
        <v>247</v>
      </c>
      <c r="C9" s="159" t="str">
        <f>Datos!A9</f>
        <v>Sección Civil del T.I</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86" t="e">
        <f>(W9/Datos!ER9)*factor_trimestre</f>
        <v>#VALUE!</v>
      </c>
      <c r="Y9" s="224" t="str">
        <f>IF(ISNUMBER(Datos!CB9),Datos!CB9," - ")</f>
        <v xml:space="preserve"> - </v>
      </c>
      <c r="Z9" s="224">
        <f>IF(ISNUMBER(Datos!BY9+Datos!BZ9*0.86),Datos!BY9+Datos!BZ9*0.86," - ")</f>
        <v>0</v>
      </c>
      <c r="AA9" s="1449">
        <f>IF(ISNUMBER((Z9*factor_trimestre)/DatosB!CN9),(Z9*factor_trimestre)/DatosB!CN9,"-")</f>
        <v>0</v>
      </c>
      <c r="AB9" s="224" t="str">
        <f>IF(ISNUMBER(IF(J_V="SI",Datos!K9,Datos!K9+Datos!AA9)-IF(Monitorios="SI",Datos!CC9,0)),
                          IF(J_V="SI",Datos!K9,Datos!K9+Datos!AA9)-IF(Monitorios="SI",Datos!CC9,0),
                          " - ")</f>
        <v xml:space="preserve"> - </v>
      </c>
      <c r="AC9" s="224" t="str">
        <f>IF(ISNUMBER(Datos!Q9),Datos!Q9," - ")</f>
        <v xml:space="preserve"> - </v>
      </c>
      <c r="AD9" s="224" t="str">
        <f>IF(ISNUMBER(Datos!CC9),Datos!CC9," - ")</f>
        <v xml:space="preserve"> - </v>
      </c>
      <c r="AE9" s="224" t="str">
        <f>IF(ISNUMBER(Datos!EM9),Datos!EM9," - ")</f>
        <v xml:space="preserve"> - </v>
      </c>
      <c r="AF9" s="224" t="str">
        <f>IF(ISNUMBER(IF(J_V="SI",Datos!L9,Datos!L9+Datos!AB9)-IF(Monitorios="SI",Datos!CD9,0)),
                          IF(J_V="SI",Datos!L9,Datos!L9+Datos!AB9)-IF(Monitorios="SI",Datos!CD9,0),
                          " - ")</f>
        <v xml:space="preserve"> - </v>
      </c>
      <c r="AG9" s="333"/>
      <c r="AH9" s="224" t="str">
        <f>IF(ISNUMBER(Datos!AB9),Datos!AB9,"-")</f>
        <v>-</v>
      </c>
      <c r="AI9" s="224" t="str">
        <f>IF(ISNUMBER(Datos!CD9),Datos!CD9,"-")</f>
        <v>-</v>
      </c>
      <c r="AJ9" s="1214" t="str">
        <f>IF(ISNUMBER(Datos!EN9),Datos!EN9," - ")</f>
        <v xml:space="preserve"> - </v>
      </c>
      <c r="AK9" s="333"/>
      <c r="AL9" s="478"/>
      <c r="AM9" s="1214" t="str">
        <f>IF(ISNUMBER(Datos!R9),Datos!R9," - ")</f>
        <v xml:space="preserve"> - </v>
      </c>
      <c r="AN9" s="333"/>
      <c r="AO9" s="333"/>
      <c r="AP9" s="333"/>
      <c r="AQ9" s="333"/>
      <c r="AR9" s="333"/>
      <c r="AS9" s="333" t="str">
        <f>IF(ISNUMBER(Datos!BV9),Datos!BV9," - ")</f>
        <v xml:space="preserve"> - </v>
      </c>
      <c r="AT9" s="1214" t="str">
        <f>IF(ISNUMBER(Datos!CK9),Datos!CK9," - ")</f>
        <v xml:space="preserve"> - </v>
      </c>
      <c r="AU9" s="1214" t="str">
        <f>IF(ISNUMBER(Datos!CL9),Datos!CL9," - ")</f>
        <v xml:space="preserve"> - </v>
      </c>
      <c r="AV9" s="1214" t="str">
        <f>IF(ISNUMBER(Datos!CM9),Datos!CM9," - ")</f>
        <v xml:space="preserve"> - </v>
      </c>
      <c r="AW9" s="297" t="str">
        <f>IF(ISNUMBER(Datos!DV9),Datos!DV9," - ")</f>
        <v xml:space="preserve"> - </v>
      </c>
      <c r="AX9" s="1214" t="str">
        <f>IF(ISNUMBER(Datos!DW9),Datos!DW9," - ")</f>
        <v xml:space="preserve"> - </v>
      </c>
      <c r="AY9" s="1214" t="str">
        <f>IF(ISNUMBER(Datos!DX9),Datos!DX9," - ")</f>
        <v xml:space="preserve"> - </v>
      </c>
      <c r="AZ9" s="1214" t="str">
        <f>IF(ISNUMBER(Datos!DY9),Datos!DY9," - ")</f>
        <v xml:space="preserve"> - </v>
      </c>
      <c r="BA9" s="297"/>
      <c r="BB9" s="226"/>
      <c r="BC9" s="224" t="str">
        <f>IF(ISNUMBER(Datos!M9),Datos!M9," - ")</f>
        <v xml:space="preserve"> - </v>
      </c>
      <c r="BD9" s="228" t="str">
        <f>IF(ISNUMBER(Datos!N9),Datos!N9," - ")</f>
        <v xml:space="preserve"> - </v>
      </c>
      <c r="BE9" s="1214" t="str">
        <f>IF(ISNUMBER(Datos!BW9),Datos!BW9," - ")</f>
        <v xml:space="preserve"> - </v>
      </c>
      <c r="BF9" s="1214" t="str">
        <f>IF(ISNUMBER(Datos!BX9),Datos!BX9," - ")</f>
        <v xml:space="preserve"> - </v>
      </c>
      <c r="BG9" s="242" t="str">
        <f>IF(ISNUMBER(IF(J_V="SI",Datos!K9/Datos!J9,(Datos!K9+Datos!AA9)/(Datos!J9+Datos!Z9))),IF(J_V="SI",Datos!K9/Datos!J9,(Datos!K9+Datos!AA9)/(Datos!J9+Datos!Z9))," - ")</f>
        <v xml:space="preserve"> - </v>
      </c>
      <c r="BH9" s="1214" t="str">
        <f>IF(ISNUMBER(((IF(J_V="SI",Datos!L9/Datos!K9,(Datos!L9+Datos!AB9)/(Datos!K9+Datos!AA9)))*11)/factor_trimestre),((IF(J_V="SI",Datos!L9/Datos!K9,(Datos!L9+Datos!AB9)/(Datos!K9+Datos!AA9)))*11)/factor_trimestre," - ")</f>
        <v xml:space="preserve"> - </v>
      </c>
      <c r="BI9" s="242"/>
      <c r="BJ9" s="1449" t="str">
        <f>IF(ISNUMBER(Datos!CI9/Datos!CJ9),Datos!CI9/Datos!CJ9," - ")</f>
        <v xml:space="preserve"> - </v>
      </c>
      <c r="BK9" s="359" t="str">
        <f>IF(ISNUMBER(Datos!CJ9),Datos!CJ9," - ")</f>
        <v xml:space="preserve"> - </v>
      </c>
      <c r="BL9" s="229" t="str">
        <f>IF(ISNUMBER((J9-AB9+L9)/(F9)),(J9-AB9+L9)/(F9)," - ")</f>
        <v xml:space="preserve"> - </v>
      </c>
      <c r="BM9" s="609" t="str">
        <f>IF(ISNUMBER((Datos!P9-Datos!Q9+Datos!DE9)/(Datos!R9-Datos!P9+Datos!Q9-Datos!DE9)),(Datos!P9-Datos!Q9+Datos!DE9)/(Datos!R9-Datos!P9+Datos!Q9-Datos!DE9)," - ")</f>
        <v xml:space="preserve"> - </v>
      </c>
      <c r="BN9" s="601"/>
      <c r="BO9" s="601"/>
      <c r="BP9" s="1214" t="str">
        <f>IF(ISNUMBER(Datos!EV9),Datos!EV9," - ")</f>
        <v xml:space="preserve"> - </v>
      </c>
      <c r="BQ9" s="1214" t="str">
        <f>IF(ISNUMBER(Datos!CW9),Datos!CW9," - ")</f>
        <v xml:space="preserve"> - </v>
      </c>
      <c r="BR9" s="265"/>
      <c r="BS9" s="265"/>
      <c r="BT9" s="1440">
        <f>--Datos!CX9</f>
        <v>0</v>
      </c>
      <c r="BU9" s="479">
        <f>Datos!DU9</f>
        <v>0</v>
      </c>
      <c r="BV9" s="1102">
        <f>Datos!ER9/factor_trimestre</f>
        <v>327.27272727272731</v>
      </c>
      <c r="BW9" s="228" t="str">
        <f>MID(Datos!EZ9,1,2)</f>
        <v/>
      </c>
      <c r="BX9" s="228" t="str">
        <f>MID(Datos!EZ9,3,3)</f>
        <v/>
      </c>
      <c r="BY9" s="1191">
        <f ca="1">AVERAGEIF($BW:$BW,BW9,$I:$I)</f>
        <v>0</v>
      </c>
      <c r="BZ9" s="1191">
        <f ca="1">AVERAGEIFS($I:$I,$BW:$BW,BW9,$BX:$BX,BX9)</f>
        <v>0</v>
      </c>
      <c r="CA9" s="1191">
        <v>1.3</v>
      </c>
      <c r="CB9" s="1191">
        <f ca="1">AVERAGEIF($BW:$BW,$BW9,$Y:$Y)</f>
        <v>0</v>
      </c>
      <c r="CC9" s="1191">
        <f ca="1">AVERAGEIFS($Y:$Y,$BW:$BW,$BW9,$BX:$BX,$BX9)</f>
        <v>0</v>
      </c>
      <c r="CD9" s="1191">
        <v>1.3</v>
      </c>
      <c r="CE9" s="1191">
        <f ca="1">AVERAGEIF($BW:$BW,BW9,$AB:$AB)</f>
        <v>153.61638673997371</v>
      </c>
      <c r="CF9" s="228">
        <f ca="1">AVERAGEIFS($AB:$AB,$BW:$BW,BW9,$BX:$BX,BX9)</f>
        <v>153.61638673997371</v>
      </c>
      <c r="CG9" s="1191">
        <v>0.7</v>
      </c>
      <c r="CH9" s="1191">
        <f ca="1">AVERAGEIF($BW:$BW,$BW9,$AC:$AC)</f>
        <v>88.8</v>
      </c>
      <c r="CI9" s="228">
        <f ca="1">AVERAGEIFS($AC:$AC,$BW:$BW,$BW9,$BX:$BX,$BX9)</f>
        <v>88.8</v>
      </c>
      <c r="CJ9" s="1191">
        <v>0.7</v>
      </c>
      <c r="CK9" s="1191">
        <f ca="1">AVERAGEIF($BW:$BW,$BW9,$AD:$AD)</f>
        <v>0</v>
      </c>
      <c r="CL9" s="228">
        <f ca="1">AVERAGEIFS($AD:$AD,$BW:$BW,$BW9,$BX:$BX,$BX9)</f>
        <v>0</v>
      </c>
      <c r="CM9" s="1191">
        <v>0.7</v>
      </c>
      <c r="CN9" s="1191">
        <f ca="1">AVERAGEIF($BW:$BW,$BW9,$AE:$AE)</f>
        <v>0</v>
      </c>
      <c r="CO9" s="228">
        <f ca="1">AVERAGEIFS($AE:$AE,$BW:$BW,$BW9,$BX:$BX,$BX9)</f>
        <v>0</v>
      </c>
      <c r="CP9" s="1191">
        <v>0.7</v>
      </c>
      <c r="CQ9" s="1191">
        <f ca="1">AVERAGEIF($BW:$BW,BW9,$AF:$AF)</f>
        <v>474.66666666666669</v>
      </c>
      <c r="CR9" s="228">
        <f ca="1">AVERAGEIFS($AF:$AF,$BW:$BW,BW9,$BX:$BX,BX9)</f>
        <v>474.66666666666669</v>
      </c>
      <c r="CS9" s="1191">
        <v>1.3</v>
      </c>
      <c r="CT9" s="1191">
        <v>1.5</v>
      </c>
      <c r="CU9" s="1191">
        <f ca="1">AVERAGEIF($BW:$BW,$BW9,$AH:$AH)</f>
        <v>10.285714285714286</v>
      </c>
      <c r="CV9" s="228">
        <f ca="1">AVERAGEIFS($AH:$AH,$BW:$BW,$BW9,$BX:$BX,$BX9)</f>
        <v>10.285714285714286</v>
      </c>
      <c r="CW9" s="1191">
        <v>1.3</v>
      </c>
      <c r="CX9" s="1191">
        <v>1.5</v>
      </c>
      <c r="CY9" s="1191">
        <f ca="1">AVERAGEIF($BW:$BW,$BW9,$AI:$AI)</f>
        <v>0</v>
      </c>
      <c r="CZ9" s="228">
        <f ca="1">AVERAGEIFS($AI:$AI,$BW:$BW,$BW9,$BX:$BX,$BX9)</f>
        <v>0</v>
      </c>
      <c r="DA9" s="1191">
        <v>1.3</v>
      </c>
      <c r="DB9" s="1191">
        <v>1.5</v>
      </c>
      <c r="DC9" s="1191">
        <f ca="1">AVERAGEIF($BW:$BW,$BW9,$AJ:$AJ)</f>
        <v>0</v>
      </c>
      <c r="DD9" s="1218">
        <f ca="1">AVERAGEIFS($AJ:$AJ,$BW:$BW,$BW9,$BX:$BX,$BX9)</f>
        <v>0</v>
      </c>
      <c r="DE9" s="1191">
        <v>1.3</v>
      </c>
      <c r="DF9" s="1191">
        <v>1.5</v>
      </c>
      <c r="DG9" s="1191">
        <f ca="1">AVERAGEIF($BW:$BW,$BW9,$AM:$AM)</f>
        <v>872.1</v>
      </c>
      <c r="DH9" s="1218">
        <f ca="1">AVERAGEIFS($AM:$AM,$BW:$BW,$BW9,$BX:$BX,$BX9)</f>
        <v>872.1</v>
      </c>
      <c r="DI9" s="1191">
        <v>1.3</v>
      </c>
      <c r="DJ9" s="1191">
        <v>1.5</v>
      </c>
      <c r="DK9" s="1191">
        <v>1</v>
      </c>
      <c r="DL9" s="1191">
        <v>1</v>
      </c>
      <c r="DM9" s="1191">
        <v>25</v>
      </c>
      <c r="DN9" s="1191">
        <v>25</v>
      </c>
      <c r="DO9" s="1191">
        <v>1</v>
      </c>
      <c r="DP9" s="1191">
        <v>1</v>
      </c>
      <c r="DQ9" s="1191">
        <v>25</v>
      </c>
      <c r="DR9" s="1191">
        <v>25</v>
      </c>
      <c r="DS9" s="1191">
        <v>1</v>
      </c>
      <c r="DT9" s="1191">
        <v>1</v>
      </c>
      <c r="DU9" s="1191">
        <v>0</v>
      </c>
      <c r="DV9" s="1191">
        <v>0</v>
      </c>
      <c r="DW9" s="1191">
        <v>1</v>
      </c>
      <c r="DX9" s="1191">
        <v>1</v>
      </c>
      <c r="DY9" s="1191">
        <v>25</v>
      </c>
      <c r="DZ9" s="1191">
        <v>25</v>
      </c>
      <c r="EA9" s="1191">
        <v>1</v>
      </c>
      <c r="EB9" s="1191">
        <v>1</v>
      </c>
      <c r="EC9" s="1191">
        <v>10</v>
      </c>
      <c r="ED9" s="1191">
        <v>10</v>
      </c>
      <c r="EE9" s="1191">
        <v>1</v>
      </c>
      <c r="EF9" s="1191">
        <v>1</v>
      </c>
      <c r="EG9" s="1191">
        <v>0</v>
      </c>
      <c r="EH9" s="1191">
        <v>0</v>
      </c>
      <c r="EI9" s="1191">
        <f ca="1">AVERAGEIF($BW:$BW,$BW9,$BE:$BE)</f>
        <v>0</v>
      </c>
      <c r="EJ9" s="1218">
        <f ca="1">AVERAGEIFS($BE:$BE,$BW:$BW,$BW9,$BX:$BX,$BX9)</f>
        <v>0</v>
      </c>
      <c r="EK9" s="1191">
        <v>1.3</v>
      </c>
      <c r="EL9" s="1191">
        <v>1.5</v>
      </c>
      <c r="EM9" s="1191">
        <f ca="1">AVERAGEIF($BW:$BW,$BW9,$BF:$BF)</f>
        <v>0</v>
      </c>
      <c r="EN9" s="1218">
        <f ca="1">AVERAGEIFS($BF:$BF,$BW:$BW,$BW9,$BX:$BX,$BX9)</f>
        <v>0</v>
      </c>
      <c r="EO9" s="1191">
        <v>1.3</v>
      </c>
      <c r="EP9" s="1191">
        <v>1.5</v>
      </c>
      <c r="EQ9" s="1191">
        <f ca="1">AVERAGEIF($BW:$BW,$BW9,$BH:$BH)</f>
        <v>5.0619643263290968</v>
      </c>
      <c r="ER9" s="1218">
        <f ca="1">AVERAGEIFS($BH:$BH,$BW:$BW,$BW9,$BX:$BX,$BX9)</f>
        <v>5.0619643263290968</v>
      </c>
      <c r="ES9" s="1191">
        <v>1.3</v>
      </c>
      <c r="ET9" s="1191">
        <v>1.5</v>
      </c>
      <c r="EU9" s="1185" t="e">
        <f ca="1">AVERAGEIF($BW:$BW,$BW9,$BJ:$BJ)</f>
        <v>#DIV/0!</v>
      </c>
      <c r="EV9" s="1444" t="e">
        <f ca="1">AVERAGEIFS($BJ:$BJ,$BW:$BW,$BW9,$BX:$BX,$BX9)</f>
        <v>#DIV/0!</v>
      </c>
      <c r="EW9" s="1191">
        <v>1.3</v>
      </c>
      <c r="EX9" s="1191">
        <f ca="1">AVERAGEIF($BW:$BW,$BW9,$BP:$BP)</f>
        <v>0</v>
      </c>
      <c r="EY9" s="1218">
        <f ca="1">AVERAGEIFS($BP:$BP,$BW:$BW,$BW9,$BX:$BX,$BX9)</f>
        <v>0</v>
      </c>
      <c r="EZ9" s="1191">
        <v>1.3</v>
      </c>
      <c r="FA9" s="1191">
        <v>1.5</v>
      </c>
      <c r="FB9" s="1191">
        <f ca="1">AVERAGEIF($BW:$BW,$BW9,$BQ:$BQ)</f>
        <v>0</v>
      </c>
      <c r="FC9" s="1218">
        <f ca="1">AVERAGEIFS($BQ:$BQ,$BW:$BW,$BW9,$BX:$BX,$BX9)</f>
        <v>0</v>
      </c>
      <c r="FD9" s="1191">
        <v>1.3</v>
      </c>
      <c r="FE9" s="1191">
        <v>1.5</v>
      </c>
      <c r="FF9" s="1185">
        <f ca="1">AVERAGEIF($BW:$BW,$BW9,$AA:$AA)</f>
        <v>0</v>
      </c>
      <c r="FG9" s="1444">
        <f ca="1">AVERAGEIFS($AA:$AA,$BW:$BW,$BW9,$BX:$BX,$BX9)</f>
        <v>0</v>
      </c>
      <c r="FH9" s="1191">
        <v>0.7</v>
      </c>
      <c r="FL9" s="1181">
        <f>Datos!EZ9</f>
        <v>0</v>
      </c>
    </row>
    <row r="10" spans="1:168" ht="14.25">
      <c r="A10" s="500">
        <f>Datos!AO10</f>
        <v>1</v>
      </c>
      <c r="B10" s="506" t="s">
        <v>247</v>
      </c>
      <c r="C10" s="7" t="str">
        <f>Datos!A10</f>
        <v>Sección De Violencia sobre la Mujer del TI</v>
      </c>
      <c r="D10" s="507"/>
      <c r="E10" s="259">
        <f>IF(ISNUMBER(Datos!AQ10),Datos!AQ10," - ")</f>
        <v>0</v>
      </c>
      <c r="F10" s="224">
        <f>IF(ISNUMBER(Datos!L10+Datos!K10-Datos!J10),Datos!L10+Datos!K10-Datos!J10," - ")</f>
        <v>0</v>
      </c>
      <c r="G10" s="332">
        <f>IF(ISNUMBER(Datos!I10),Datos!I10," - ")</f>
        <v>0</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86" t="e">
        <f>(W10/Datos!ER10)*factor_trimestre</f>
        <v>#VALUE!</v>
      </c>
      <c r="Y10" s="224"/>
      <c r="Z10" s="224" t="str">
        <f>IF(ISNUMBER(Datos!BY10),Datos!BY10," - ")</f>
        <v xml:space="preserve"> - </v>
      </c>
      <c r="AA10" s="1449" t="str">
        <f>IF(ISNUMBER((Z10*factor_trimestre)/DatosB!CN10),(Z10*factor_trimestre)/DatosB!CN10,"-")</f>
        <v>-</v>
      </c>
      <c r="AB10" s="224">
        <f>IF(ISNUMBER(Datos!K10),Datos!K10," - ")</f>
        <v>0</v>
      </c>
      <c r="AC10" s="224">
        <f>IF(ISNUMBER(Datos!Q10),Datos!Q10," - ")</f>
        <v>0</v>
      </c>
      <c r="AD10" s="224"/>
      <c r="AE10" s="224"/>
      <c r="AF10" s="224">
        <f>IF(ISNUMBER(Datos!L10),Datos!L10,"-")</f>
        <v>0</v>
      </c>
      <c r="AG10" s="333"/>
      <c r="AH10" s="224"/>
      <c r="AI10" s="224"/>
      <c r="AJ10" s="1214"/>
      <c r="AK10" s="333"/>
      <c r="AL10" s="478"/>
      <c r="AM10" s="1214">
        <f>IF(ISNUMBER(Datos!R10),Datos!R10," - ")</f>
        <v>0</v>
      </c>
      <c r="AN10" s="333"/>
      <c r="AO10" s="333"/>
      <c r="AP10" s="333"/>
      <c r="AQ10" s="333"/>
      <c r="AR10" s="333"/>
      <c r="AS10" s="333" t="str">
        <f>IF(ISNUMBER(Datos!BV10),Datos!BV10," - ")</f>
        <v xml:space="preserve"> - </v>
      </c>
      <c r="AT10" s="1214" t="str">
        <f>IF(ISNUMBER(Datos!CK10),Datos!CK10," - ")</f>
        <v xml:space="preserve"> - </v>
      </c>
      <c r="AU10" s="1214" t="str">
        <f>IF(ISNUMBER(Datos!CL10),Datos!CL10," - ")</f>
        <v xml:space="preserve"> - </v>
      </c>
      <c r="AV10" s="1214" t="str">
        <f>IF(ISNUMBER(Datos!CM10),Datos!CM10," - ")</f>
        <v xml:space="preserve"> - </v>
      </c>
      <c r="AW10" s="1236" t="str">
        <f>IF(ISNUMBER(Datos!DV10),Datos!DV10," - ")</f>
        <v xml:space="preserve"> - </v>
      </c>
      <c r="AX10" s="1214" t="str">
        <f>IF(ISNUMBER(Datos!DW10),Datos!DW10," - ")</f>
        <v xml:space="preserve"> - </v>
      </c>
      <c r="AY10" s="1214" t="str">
        <f>IF(ISNUMBER(Datos!DX10),Datos!DX10," - ")</f>
        <v xml:space="preserve"> - </v>
      </c>
      <c r="AZ10" s="1214" t="str">
        <f>IF(ISNUMBER(Datos!DY10),Datos!DY10," - ")</f>
        <v xml:space="preserve"> - </v>
      </c>
      <c r="BA10" s="297"/>
      <c r="BB10" s="226"/>
      <c r="BC10" s="224">
        <f>IF(ISNUMBER(Datos!M10),Datos!M10," - ")</f>
        <v>0</v>
      </c>
      <c r="BD10" s="228">
        <f>IF(ISNUMBER(Datos!N10),Datos!N10," - ")</f>
        <v>0</v>
      </c>
      <c r="BE10" s="1214" t="str">
        <f>IF(ISNUMBER(Datos!BW10),Datos!BW10," - ")</f>
        <v xml:space="preserve"> - </v>
      </c>
      <c r="BF10" s="1214" t="str">
        <f>IF(ISNUMBER(Datos!BX10),Datos!BX10," - ")</f>
        <v xml:space="preserve"> - </v>
      </c>
      <c r="BG10" s="242" t="str">
        <f>IF(ISNUMBER(Datos!K10/Datos!J10),Datos!K10/Datos!J10," - ")</f>
        <v xml:space="preserve"> - </v>
      </c>
      <c r="BH10" s="1214" t="str">
        <f>IF(ISNUMBER(((Datos!L10/Datos!K10)*11)/factor_trimestre),((Datos!L10/Datos!K10)*11)/factor_trimestre," - ")</f>
        <v xml:space="preserve"> - </v>
      </c>
      <c r="BI10" s="242"/>
      <c r="BJ10" s="1449" t="str">
        <f>IF(ISNUMBER(Datos!CI10/Datos!CJ10),Datos!CI10/Datos!CJ10," - ")</f>
        <v xml:space="preserve"> - </v>
      </c>
      <c r="BK10" s="359" t="str">
        <f>IF(ISNUMBER(Datos!CJ10),Datos!CJ10," - ")</f>
        <v xml:space="preserve"> - </v>
      </c>
      <c r="BL10" s="229" t="str">
        <f>IF(ISNUMBER((I10-AB10+L10)/(F10)),(I10-AB10+L10)/(F10)," - ")</f>
        <v xml:space="preserve"> - </v>
      </c>
      <c r="BM10" s="609" t="str">
        <f>IF(ISNUMBER((Datos!P10-Datos!Q10+Datos!DE10)/(Datos!R10-Datos!P10+Datos!Q10-Datos!DE10)),(Datos!P10-Datos!Q10+Datos!DE10)/(Datos!R10-Datos!P10+Datos!Q10-Datos!DE10)," - ")</f>
        <v xml:space="preserve"> - </v>
      </c>
      <c r="BN10" s="601"/>
      <c r="BO10" s="601"/>
      <c r="BP10" s="1214" t="str">
        <f>IF(ISNUMBER(Datos!EV10),Datos!EV10," - ")</f>
        <v xml:space="preserve"> - </v>
      </c>
      <c r="BQ10" s="1214" t="str">
        <f>IF(ISNUMBER(Datos!CW10),Datos!CW10," - ")</f>
        <v xml:space="preserve"> - </v>
      </c>
      <c r="BR10" s="265"/>
      <c r="BS10" s="265"/>
      <c r="BT10" s="1440">
        <f>--Datos!CX10</f>
        <v>0</v>
      </c>
      <c r="BU10" s="479">
        <f>Datos!DU10</f>
        <v>0</v>
      </c>
      <c r="BV10" s="1102">
        <f>Datos!ER10/factor_trimestre</f>
        <v>436.36363636363637</v>
      </c>
      <c r="BW10" s="228" t="str">
        <f>MID(Datos!EZ10,1,2)</f>
        <v/>
      </c>
      <c r="BX10" s="228" t="str">
        <f>MID(Datos!EZ10,3,3)</f>
        <v/>
      </c>
      <c r="BY10" s="1191">
        <f ca="1">AVERAGEIF($BW:$BW,BW10,$I:$I)</f>
        <v>0</v>
      </c>
      <c r="BZ10" s="1191">
        <f ca="1">AVERAGEIFS($I:$I,$BW:$BW,BW10,$BX:$BX,BX10)</f>
        <v>0</v>
      </c>
      <c r="CA10" s="1191">
        <v>1.3</v>
      </c>
      <c r="CB10" s="1191">
        <f ca="1">AVERAGEIF($BW:$BW,$BW10,$Y:$Y)</f>
        <v>0</v>
      </c>
      <c r="CC10" s="1191">
        <f ca="1">AVERAGEIFS($Y:$Y,$BW:$BW,$BW10,$BX:$BX,$BX10)</f>
        <v>0</v>
      </c>
      <c r="CD10" s="1191">
        <v>1.3</v>
      </c>
      <c r="CE10" s="1191">
        <f ca="1">AVERAGEIF($BW:$BW,BW10,$AB:$AB)</f>
        <v>153.61638673997371</v>
      </c>
      <c r="CF10" s="228">
        <f ca="1">AVERAGEIFS($AB:$AB,$BW:$BW,BW10,$BX:$BX,BX10)</f>
        <v>153.61638673997371</v>
      </c>
      <c r="CG10" s="1191">
        <v>0.7</v>
      </c>
      <c r="CH10" s="1191">
        <f ca="1">AVERAGEIF($BW:$BW,BW10,$AC:$AC)</f>
        <v>88.8</v>
      </c>
      <c r="CI10" s="228">
        <f ca="1">AVERAGEIFS($AC:$AC,$BW:$BW,BW10,$BX:$BX,BX10)</f>
        <v>88.8</v>
      </c>
      <c r="CJ10" s="1191">
        <v>0.7</v>
      </c>
      <c r="CK10" s="1191">
        <f ca="1">AVERAGEIF($BW:$BW,$BW10,$AD:$AD)</f>
        <v>0</v>
      </c>
      <c r="CL10" s="228">
        <f ca="1">AVERAGEIFS($AD:$AD,$BW:$BW,$BW10,$BX:$BX,$BX10)</f>
        <v>0</v>
      </c>
      <c r="CM10" s="1191">
        <v>0.7</v>
      </c>
      <c r="CN10" s="1191">
        <f ca="1">AVERAGEIF($BW:$BW,$BW10,$AE:$AE)</f>
        <v>0</v>
      </c>
      <c r="CO10" s="228">
        <f ca="1">AVERAGEIFS($AE:$AE,$BW:$BW,$BW10,$BX:$BX,$BX10)</f>
        <v>0</v>
      </c>
      <c r="CP10" s="1191">
        <v>0.7</v>
      </c>
      <c r="CQ10" s="1191">
        <f ca="1">AVERAGEIF($BW:$BW,BW10,$AF:$AF)</f>
        <v>474.66666666666669</v>
      </c>
      <c r="CR10" s="228">
        <f ca="1">AVERAGEIFS($AF:$AF,$BW:$BW,BW10,$BX:$BX,BX10)</f>
        <v>474.66666666666669</v>
      </c>
      <c r="CS10" s="1191">
        <v>1.3</v>
      </c>
      <c r="CT10" s="1191">
        <v>1.5</v>
      </c>
      <c r="CU10" s="1191">
        <f ca="1">AVERAGEIF($BW:$BW,$BW10,$AH:$AH)</f>
        <v>10.285714285714286</v>
      </c>
      <c r="CV10" s="228">
        <f ca="1">AVERAGEIFS($AH:$AH,$BW:$BW,$BW10,$BX:$BX,$BX10)</f>
        <v>10.285714285714286</v>
      </c>
      <c r="CW10" s="1191">
        <v>1.3</v>
      </c>
      <c r="CX10" s="1191">
        <v>1.5</v>
      </c>
      <c r="CY10" s="1191">
        <f ca="1">AVERAGEIF($BW:$BW,$BW10,$AI:$AI)</f>
        <v>0</v>
      </c>
      <c r="CZ10" s="228">
        <f ca="1">AVERAGEIFS($AI:$AI,$BW:$BW,$BW10,$BX:$BX,$BX10)</f>
        <v>0</v>
      </c>
      <c r="DA10" s="1191">
        <v>1.3</v>
      </c>
      <c r="DB10" s="1191">
        <v>1.5</v>
      </c>
      <c r="DC10" s="1191">
        <f ca="1">AVERAGEIF($BW:$BW,$BW10,$AJ:$AJ)</f>
        <v>0</v>
      </c>
      <c r="DD10" s="1218">
        <f ca="1">AVERAGEIFS($AJ:$AJ,$BW:$BW,$BW10,$BX:$BX,$BX10)</f>
        <v>0</v>
      </c>
      <c r="DE10" s="1191">
        <v>1.3</v>
      </c>
      <c r="DF10" s="1191">
        <v>1.5</v>
      </c>
      <c r="DG10" s="1191">
        <f ca="1">AVERAGEIF($BW:$BW,$BW10,$AM:$AM)</f>
        <v>872.1</v>
      </c>
      <c r="DH10" s="1218">
        <f ca="1">AVERAGEIFS($AM:$AM,$BW:$BW,$BW10,$BX:$BX,$BX10)</f>
        <v>872.1</v>
      </c>
      <c r="DI10" s="1191">
        <v>1.3</v>
      </c>
      <c r="DJ10" s="1191">
        <v>1.5</v>
      </c>
      <c r="DK10" s="1191">
        <v>1</v>
      </c>
      <c r="DL10" s="1191">
        <v>1</v>
      </c>
      <c r="DM10" s="1191">
        <v>25</v>
      </c>
      <c r="DN10" s="1191">
        <v>25</v>
      </c>
      <c r="DO10" s="1191">
        <v>1</v>
      </c>
      <c r="DP10" s="1191">
        <v>1</v>
      </c>
      <c r="DQ10" s="1191">
        <v>10</v>
      </c>
      <c r="DR10" s="1191">
        <v>10</v>
      </c>
      <c r="DS10" s="1191">
        <v>1</v>
      </c>
      <c r="DT10" s="1191">
        <v>1</v>
      </c>
      <c r="DU10" s="1191">
        <v>0</v>
      </c>
      <c r="DV10" s="1191">
        <v>0</v>
      </c>
      <c r="DW10" s="1191">
        <v>1</v>
      </c>
      <c r="DX10" s="1191">
        <v>1</v>
      </c>
      <c r="DY10" s="1191">
        <v>25</v>
      </c>
      <c r="DZ10" s="1191">
        <v>25</v>
      </c>
      <c r="EA10" s="1191">
        <v>1</v>
      </c>
      <c r="EB10" s="1191">
        <v>1</v>
      </c>
      <c r="EC10" s="1191">
        <v>10</v>
      </c>
      <c r="ED10" s="1191">
        <v>10</v>
      </c>
      <c r="EE10" s="1191">
        <v>1</v>
      </c>
      <c r="EF10" s="1191">
        <v>1</v>
      </c>
      <c r="EG10" s="1191">
        <v>0</v>
      </c>
      <c r="EH10" s="1191">
        <v>0</v>
      </c>
      <c r="EI10" s="1191">
        <f ca="1">AVERAGEIF($BW:$BW,$BW10,$BE:$BE)</f>
        <v>0</v>
      </c>
      <c r="EJ10" s="1218">
        <f ca="1">AVERAGEIFS($BE:$BE,$BW:$BW,$BW10,$BX:$BX,$BX10)</f>
        <v>0</v>
      </c>
      <c r="EK10" s="1191">
        <v>1.3</v>
      </c>
      <c r="EL10" s="1191">
        <v>1.5</v>
      </c>
      <c r="EM10" s="1191">
        <f ca="1">AVERAGEIF($BW:$BW,$BW10,$BF:$BF)</f>
        <v>0</v>
      </c>
      <c r="EN10" s="1218">
        <f ca="1">AVERAGEIFS($BF:$BF,$BW:$BW,$BW10,$BX:$BX,$BX10)</f>
        <v>0</v>
      </c>
      <c r="EO10" s="1191">
        <v>1.3</v>
      </c>
      <c r="EP10" s="1191">
        <v>1.5</v>
      </c>
      <c r="EQ10" s="1191">
        <f ca="1">AVERAGEIF($BW:$BW,$BW10,$BH:$BH)</f>
        <v>5.0619643263290968</v>
      </c>
      <c r="ER10" s="1218">
        <f ca="1">AVERAGEIFS($BH:$BH,$BW:$BW,$BW10,$BX:$BX,$BX10)</f>
        <v>5.0619643263290968</v>
      </c>
      <c r="ES10" s="1191">
        <v>1.3</v>
      </c>
      <c r="ET10" s="1191">
        <v>1.5</v>
      </c>
      <c r="EU10" s="1185" t="e">
        <f ca="1">AVERAGEIF($BW:$BW,$BW10,$BJ:$BJ)</f>
        <v>#DIV/0!</v>
      </c>
      <c r="EV10" s="1444" t="e">
        <f ca="1">AVERAGEIFS($BJ:$BJ,$BW:$BW,$BW10,$BX:$BX,$BX10)</f>
        <v>#DIV/0!</v>
      </c>
      <c r="EW10" s="1191">
        <v>1.3</v>
      </c>
      <c r="EX10" s="1191">
        <f ca="1">AVERAGEIF($BW:$BW,$BW10,$BP:$BP)</f>
        <v>0</v>
      </c>
      <c r="EY10" s="1218">
        <f ca="1">AVERAGEIFS($BP:$BP,$BW:$BW,$BW10,$BX:$BX,$BX10)</f>
        <v>0</v>
      </c>
      <c r="EZ10" s="1191">
        <v>1.3</v>
      </c>
      <c r="FA10" s="1191">
        <v>1.5</v>
      </c>
      <c r="FB10" s="1191">
        <f ca="1">AVERAGEIF($BW:$BW,$BW10,$BQ:$BQ)</f>
        <v>0</v>
      </c>
      <c r="FC10" s="1218">
        <f ca="1">AVERAGEIFS($BQ:$BQ,$BW:$BW,$BW10,$BX:$BX,$BX10)</f>
        <v>0</v>
      </c>
      <c r="FD10" s="1191">
        <v>1.3</v>
      </c>
      <c r="FE10" s="1191">
        <v>1.5</v>
      </c>
      <c r="FF10" s="1185">
        <f ca="1">AVERAGEIF($BW:$BW,$BW10,$AA:$AA)</f>
        <v>0</v>
      </c>
      <c r="FG10" s="1444">
        <f ca="1">AVERAGEIFS($AA:$AA,$BW:$BW,$BW10,$BX:$BX,$BX10)</f>
        <v>0</v>
      </c>
      <c r="FH10" s="1191">
        <v>0.7</v>
      </c>
      <c r="FL10" s="1181">
        <f>Datos!EZ10</f>
        <v>0</v>
      </c>
    </row>
    <row r="11" spans="1:168" ht="14.25">
      <c r="A11" s="500">
        <f>Datos!AO11</f>
        <v>0</v>
      </c>
      <c r="B11" s="506" t="s">
        <v>247</v>
      </c>
      <c r="C11" s="7" t="str">
        <f>Datos!A11</f>
        <v xml:space="preserve">Sección de Familia, infancia e incapacidad del TI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86" t="e">
        <f>(W11/Datos!ER11)*factor_trimestre</f>
        <v>#VALUE!</v>
      </c>
      <c r="Y11" s="224"/>
      <c r="Z11" s="224">
        <f>IF(ISNUMBER(Datos!BY11+Datos!BZ11),Datos!BY11+Datos!BZ11," - ")</f>
        <v>0</v>
      </c>
      <c r="AA11" s="1449">
        <f>IF(ISNUMBER((Z11*factor_trimestre)/DatosB!CN11),(Z11*factor_trimestre)/DatosB!CN11,"-")</f>
        <v>0</v>
      </c>
      <c r="AB11" s="224" t="str">
        <f>IF(ISNUMBER(IF(J_V="SI",Datos!K11,Datos!K11+Datos!AA11)-IF(Monitorios="SI",Datos!CC11,0)),
                          IF(J_V="SI",Datos!K11,Datos!K11+Datos!AA11)-IF(Monitorios="SI",Datos!CC11,0),
                          " - ")</f>
        <v xml:space="preserve"> - </v>
      </c>
      <c r="AC11" s="224" t="str">
        <f>IF(ISNUMBER(Datos!Q11),Datos!Q11," - ")</f>
        <v xml:space="preserve"> - </v>
      </c>
      <c r="AD11" s="224"/>
      <c r="AE11" s="224"/>
      <c r="AF11" s="224" t="str">
        <f>IF(ISNUMBER(IF(J_V="SI",Datos!L11,Datos!L11+Datos!AB11)-IF(Monitorios="SI",Datos!CD11,0)),
                          IF(J_V="SI",Datos!L11,Datos!L11+Datos!AB11)-IF(Monitorios="SI",Datos!CD11,0),
                          " - ")</f>
        <v xml:space="preserve"> - </v>
      </c>
      <c r="AG11" s="333"/>
      <c r="AH11" s="224" t="str">
        <f>IF(ISNUMBER(Datos!AB11),Datos!AB11,"-")</f>
        <v>-</v>
      </c>
      <c r="AI11" s="224"/>
      <c r="AJ11" s="1214"/>
      <c r="AK11" s="333"/>
      <c r="AL11" s="478"/>
      <c r="AM11" s="1214" t="str">
        <f>IF(ISNUMBER(Datos!R11),Datos!R11," - ")</f>
        <v xml:space="preserve"> - </v>
      </c>
      <c r="AN11" s="333"/>
      <c r="AO11" s="333"/>
      <c r="AP11" s="333"/>
      <c r="AQ11" s="333"/>
      <c r="AR11" s="333"/>
      <c r="AS11" s="333" t="str">
        <f>IF(ISNUMBER(Datos!BV11),Datos!BV11," - ")</f>
        <v xml:space="preserve"> - </v>
      </c>
      <c r="AT11" s="1214" t="str">
        <f>IF(ISNUMBER(Datos!CK11),Datos!CK11," - ")</f>
        <v xml:space="preserve"> - </v>
      </c>
      <c r="AU11" s="1214" t="str">
        <f>IF(ISNUMBER(Datos!CL11),Datos!CL11," - ")</f>
        <v xml:space="preserve"> - </v>
      </c>
      <c r="AV11" s="1214" t="str">
        <f>IF(ISNUMBER(Datos!CM11),Datos!CM11," - ")</f>
        <v xml:space="preserve"> - </v>
      </c>
      <c r="AW11" s="1236" t="str">
        <f>IF(ISNUMBER(Datos!DV11),Datos!DV11," - ")</f>
        <v xml:space="preserve"> - </v>
      </c>
      <c r="AX11" s="1214" t="str">
        <f>IF(ISNUMBER(Datos!DW11),Datos!DW11," - ")</f>
        <v xml:space="preserve"> - </v>
      </c>
      <c r="AY11" s="1214" t="str">
        <f>IF(ISNUMBER(Datos!DX11),Datos!DX11," - ")</f>
        <v xml:space="preserve"> - </v>
      </c>
      <c r="AZ11" s="1214" t="str">
        <f>IF(ISNUMBER(Datos!DY11),Datos!DY11," - ")</f>
        <v xml:space="preserve"> - </v>
      </c>
      <c r="BA11" s="297"/>
      <c r="BB11" s="226"/>
      <c r="BC11" s="224" t="str">
        <f>IF(ISNUMBER(Datos!M11),Datos!M11," - ")</f>
        <v xml:space="preserve"> - </v>
      </c>
      <c r="BD11" s="228" t="str">
        <f>IF(ISNUMBER(Datos!N11),Datos!N11," - ")</f>
        <v xml:space="preserve"> - </v>
      </c>
      <c r="BE11" s="1214" t="str">
        <f>IF(ISNUMBER(Datos!BW11),Datos!BW11," - ")</f>
        <v xml:space="preserve"> - </v>
      </c>
      <c r="BF11" s="1214" t="str">
        <f>IF(ISNUMBER(Datos!BX11),Datos!BX11," - ")</f>
        <v xml:space="preserve"> - </v>
      </c>
      <c r="BG11" s="242" t="str">
        <f>IF(ISNUMBER(IF(J_V="SI",Datos!K11/Datos!J11,(Datos!K11+Datos!AA11)/(Datos!J11+Datos!Z11))),IF(J_V="SI",Datos!K11/Datos!J11,(Datos!K11+Datos!AA11)/(Datos!J11+Datos!Z11))," - ")</f>
        <v xml:space="preserve"> - </v>
      </c>
      <c r="BH11" s="1214" t="str">
        <f>IF(ISNUMBER(((IF(J_V="SI",Datos!L11/Datos!K11,(Datos!L11+Datos!AB11)/(Datos!K11+Datos!AA11)))*11)/factor_trimestre),((IF(J_V="SI",Datos!L11/Datos!K11,(Datos!L11+Datos!AB11)/(Datos!K11+Datos!AA11)))*11)/factor_trimestre," - ")</f>
        <v xml:space="preserve"> - </v>
      </c>
      <c r="BI11" s="242"/>
      <c r="BJ11" s="1449" t="str">
        <f>IF(ISNUMBER(Datos!CI11/Datos!CJ11),Datos!CI11/Datos!CJ11," - ")</f>
        <v xml:space="preserve"> - </v>
      </c>
      <c r="BK11" s="359" t="str">
        <f>IF(ISNUMBER(Datos!CJ11),Datos!CJ11," - ")</f>
        <v xml:space="preserve"> - </v>
      </c>
      <c r="BL11" s="229" t="str">
        <f t="shared" ref="BL11:BL12" si="0">IF(ISNUMBER((I11-AB11+L11)/(F11)),(I11-AB11+L11)/(F11)," - ")</f>
        <v xml:space="preserve"> - </v>
      </c>
      <c r="BM11" s="609" t="str">
        <f>IF(ISNUMBER((Datos!P11-Datos!Q11+Datos!DE11)/(Datos!R11-Datos!P11+Datos!Q11-Datos!DE11)),(Datos!P11-Datos!Q11+Datos!DE11)/(Datos!R11-Datos!P11+Datos!Q11-Datos!DE11)," - ")</f>
        <v xml:space="preserve"> - </v>
      </c>
      <c r="BN11" s="601"/>
      <c r="BO11" s="601"/>
      <c r="BP11" s="1214" t="str">
        <f>IF(ISNUMBER(Datos!EV11),Datos!EV11," - ")</f>
        <v xml:space="preserve"> - </v>
      </c>
      <c r="BQ11" s="1214" t="str">
        <f>IF(ISNUMBER(Datos!CW11),Datos!CW11," - ")</f>
        <v xml:space="preserve"> - </v>
      </c>
      <c r="BR11" s="265"/>
      <c r="BS11" s="265"/>
      <c r="BT11" s="1440">
        <f>--Datos!CX11</f>
        <v>0</v>
      </c>
      <c r="BU11" s="479">
        <f>Datos!DU11</f>
        <v>0</v>
      </c>
      <c r="BV11" s="1102">
        <f>Datos!ER11/factor_trimestre</f>
        <v>360.81818181818181</v>
      </c>
      <c r="BW11" s="228" t="str">
        <f>MID(Datos!EZ11,1,2)</f>
        <v/>
      </c>
      <c r="BX11" s="228" t="str">
        <f>MID(Datos!EZ11,3,3)</f>
        <v/>
      </c>
      <c r="BY11" s="1191">
        <f ca="1">AVERAGEIF($BW:$BW,BW11,$I:$I)</f>
        <v>0</v>
      </c>
      <c r="BZ11" s="1191">
        <f ca="1">AVERAGEIFS($I:$I,$BW:$BW,BW11,$BX:$BX,BX11)</f>
        <v>0</v>
      </c>
      <c r="CA11" s="1191">
        <v>1.3</v>
      </c>
      <c r="CB11" s="1191">
        <f ca="1">AVERAGEIF($BW:$BW,$BW11,$Y:$Y)</f>
        <v>0</v>
      </c>
      <c r="CC11" s="1191">
        <f ca="1">AVERAGEIFS($Y:$Y,$BW:$BW,$BW11,$BX:$BX,$BX11)</f>
        <v>0</v>
      </c>
      <c r="CD11" s="1191">
        <v>1.3</v>
      </c>
      <c r="CE11" s="1191">
        <f ca="1">AVERAGEIF($BW:$BW,BW11,$AB:$AB)</f>
        <v>153.61638673997371</v>
      </c>
      <c r="CF11" s="228">
        <f ca="1">AVERAGEIFS($AB:$AB,$BW:$BW,BW11,$BX:$BX,BX11)</f>
        <v>153.61638673997371</v>
      </c>
      <c r="CG11" s="1191">
        <v>0.7</v>
      </c>
      <c r="CH11" s="1191">
        <f ca="1">AVERAGEIF($BW:$BW,BW11,$AC:$AC)</f>
        <v>88.8</v>
      </c>
      <c r="CI11" s="228">
        <f ca="1">AVERAGEIFS($AC:$AC,$BW:$BW,BW11,$BX:$BX,BX11)</f>
        <v>88.8</v>
      </c>
      <c r="CJ11" s="1191">
        <v>0.7</v>
      </c>
      <c r="CK11" s="1191">
        <f ca="1">AVERAGEIF($BW:$BW,$BW11,$AD:$AD)</f>
        <v>0</v>
      </c>
      <c r="CL11" s="228">
        <f ca="1">AVERAGEIFS($AD:$AD,$BW:$BW,$BW11,$BX:$BX,$BX11)</f>
        <v>0</v>
      </c>
      <c r="CM11" s="1191">
        <v>0.7</v>
      </c>
      <c r="CN11" s="1191">
        <f ca="1">AVERAGEIF($BW:$BW,$BW11,$AE:$AE)</f>
        <v>0</v>
      </c>
      <c r="CO11" s="228">
        <f ca="1">AVERAGEIFS($AE:$AE,$BW:$BW,$BW11,$BX:$BX,$BX11)</f>
        <v>0</v>
      </c>
      <c r="CP11" s="1191">
        <v>0.7</v>
      </c>
      <c r="CQ11" s="1191">
        <f ca="1">AVERAGEIF($BW:$BW,BW11,$AF:$AF)</f>
        <v>474.66666666666669</v>
      </c>
      <c r="CR11" s="228">
        <f ca="1">AVERAGEIFS($AF:$AF,$BW:$BW,BW11,$BX:$BX,BX11)</f>
        <v>474.66666666666669</v>
      </c>
      <c r="CS11" s="1191">
        <v>1.3</v>
      </c>
      <c r="CT11" s="1191">
        <v>1.5</v>
      </c>
      <c r="CU11" s="1191">
        <f ca="1">AVERAGEIF($BW:$BW,$BW11,$AH:$AH)</f>
        <v>10.285714285714286</v>
      </c>
      <c r="CV11" s="228">
        <f ca="1">AVERAGEIFS($AH:$AH,$BW:$BW,$BW11,$BX:$BX,$BX11)</f>
        <v>10.285714285714286</v>
      </c>
      <c r="CW11" s="1191">
        <v>1.3</v>
      </c>
      <c r="CX11" s="1191">
        <v>1.5</v>
      </c>
      <c r="CY11" s="1191">
        <f ca="1">AVERAGEIF($BW:$BW,$BW11,$AI:$AI)</f>
        <v>0</v>
      </c>
      <c r="CZ11" s="228">
        <f ca="1">AVERAGEIFS($AI:$AI,$BW:$BW,$BW11,$BX:$BX,$BX11)</f>
        <v>0</v>
      </c>
      <c r="DA11" s="1191">
        <v>1.3</v>
      </c>
      <c r="DB11" s="1191">
        <v>1.5</v>
      </c>
      <c r="DC11" s="1191">
        <f ca="1">AVERAGEIF($BW:$BW,$BW11,$AJ:$AJ)</f>
        <v>0</v>
      </c>
      <c r="DD11" s="1218">
        <f ca="1">AVERAGEIFS($AJ:$AJ,$BW:$BW,$BW11,$BX:$BX,$BX11)</f>
        <v>0</v>
      </c>
      <c r="DE11" s="1191">
        <v>1.3</v>
      </c>
      <c r="DF11" s="1191">
        <v>1.5</v>
      </c>
      <c r="DG11" s="1191">
        <f ca="1">AVERAGEIF($BW:$BW,$BW11,$AM:$AM)</f>
        <v>872.1</v>
      </c>
      <c r="DH11" s="1218">
        <f ca="1">AVERAGEIFS($AM:$AM,$BW:$BW,$BW11,$BX:$BX,$BX11)</f>
        <v>872.1</v>
      </c>
      <c r="DI11" s="1191">
        <v>1.3</v>
      </c>
      <c r="DJ11" s="1191">
        <v>1.5</v>
      </c>
      <c r="DK11" s="1191">
        <v>1</v>
      </c>
      <c r="DL11" s="1191">
        <v>1</v>
      </c>
      <c r="DM11" s="1191">
        <v>25</v>
      </c>
      <c r="DN11" s="1191">
        <v>25</v>
      </c>
      <c r="DO11" s="1191">
        <v>1</v>
      </c>
      <c r="DP11" s="1191">
        <v>1</v>
      </c>
      <c r="DQ11" s="1191">
        <v>10</v>
      </c>
      <c r="DR11" s="1191">
        <v>10</v>
      </c>
      <c r="DS11" s="1191">
        <v>1</v>
      </c>
      <c r="DT11" s="1191">
        <v>1</v>
      </c>
      <c r="DU11" s="1191">
        <v>0</v>
      </c>
      <c r="DV11" s="1191">
        <v>0</v>
      </c>
      <c r="DW11" s="1191">
        <v>1</v>
      </c>
      <c r="DX11" s="1191">
        <v>1</v>
      </c>
      <c r="DY11" s="1191">
        <v>25</v>
      </c>
      <c r="DZ11" s="1191">
        <v>25</v>
      </c>
      <c r="EA11" s="1191">
        <v>1</v>
      </c>
      <c r="EB11" s="1191">
        <v>1</v>
      </c>
      <c r="EC11" s="1191">
        <v>10</v>
      </c>
      <c r="ED11" s="1191">
        <v>10</v>
      </c>
      <c r="EE11" s="1191">
        <v>1</v>
      </c>
      <c r="EF11" s="1191">
        <v>1</v>
      </c>
      <c r="EG11" s="1191">
        <v>0</v>
      </c>
      <c r="EH11" s="1191">
        <v>0</v>
      </c>
      <c r="EI11" s="1191">
        <f ca="1">AVERAGEIF($BW:$BW,$BW11,$BE:$BE)</f>
        <v>0</v>
      </c>
      <c r="EJ11" s="1218">
        <f ca="1">AVERAGEIFS($BE:$BE,$BW:$BW,$BW11,$BX:$BX,$BX11)</f>
        <v>0</v>
      </c>
      <c r="EK11" s="1191">
        <v>1.3</v>
      </c>
      <c r="EL11" s="1191">
        <v>1.5</v>
      </c>
      <c r="EM11" s="1191">
        <f ca="1">AVERAGEIF($BW:$BW,$BW11,$BF:$BF)</f>
        <v>0</v>
      </c>
      <c r="EN11" s="1218">
        <f ca="1">AVERAGEIFS($BF:$BF,$BW:$BW,$BW11,$BX:$BX,$BX11)</f>
        <v>0</v>
      </c>
      <c r="EO11" s="1191">
        <v>1.3</v>
      </c>
      <c r="EP11" s="1191">
        <v>1.5</v>
      </c>
      <c r="EQ11" s="1191">
        <f ca="1">AVERAGEIF($BW:$BW,$BW11,$BH:$BH)</f>
        <v>5.0619643263290968</v>
      </c>
      <c r="ER11" s="1218">
        <f ca="1">AVERAGEIFS($BH:$BH,$BW:$BW,$BW11,$BX:$BX,$BX11)</f>
        <v>5.0619643263290968</v>
      </c>
      <c r="ES11" s="1191">
        <v>1.3</v>
      </c>
      <c r="ET11" s="1191">
        <v>1.5</v>
      </c>
      <c r="EU11" s="1185" t="e">
        <f ca="1">AVERAGEIF($BW:$BW,$BW11,$BJ:$BJ)</f>
        <v>#DIV/0!</v>
      </c>
      <c r="EV11" s="1444" t="e">
        <f ca="1">AVERAGEIFS($BJ:$BJ,$BW:$BW,$BW11,$BX:$BX,$BX11)</f>
        <v>#DIV/0!</v>
      </c>
      <c r="EW11" s="1191">
        <v>1.3</v>
      </c>
      <c r="EX11" s="1191">
        <f ca="1">AVERAGEIF($BW:$BW,$BW11,$BP:$BP)</f>
        <v>0</v>
      </c>
      <c r="EY11" s="1218">
        <f ca="1">AVERAGEIFS($BP:$BP,$BW:$BW,$BW11,$BX:$BX,$BX11)</f>
        <v>0</v>
      </c>
      <c r="EZ11" s="1191">
        <v>1.3</v>
      </c>
      <c r="FA11" s="1191">
        <v>1.5</v>
      </c>
      <c r="FB11" s="1191">
        <f ca="1">AVERAGEIF($BW:$BW,$BW11,$BQ:$BQ)</f>
        <v>0</v>
      </c>
      <c r="FC11" s="1218">
        <f ca="1">AVERAGEIFS($BQ:$BQ,$BW:$BW,$BW11,$BX:$BX,$BX11)</f>
        <v>0</v>
      </c>
      <c r="FD11" s="1191">
        <v>1.3</v>
      </c>
      <c r="FE11" s="1191">
        <v>1.5</v>
      </c>
      <c r="FF11" s="1185">
        <f ca="1">AVERAGEIF($BW:$BW,$BW11,$AA:$AA)</f>
        <v>0</v>
      </c>
      <c r="FG11" s="1444">
        <f ca="1">AVERAGEIFS($AA:$AA,$BW:$BW,$BW11,$BX:$BX,$BX11)</f>
        <v>0</v>
      </c>
      <c r="FH11" s="1191">
        <v>0.7</v>
      </c>
      <c r="FL11" s="1181">
        <f>Datos!EZ11</f>
        <v>0</v>
      </c>
    </row>
    <row r="12" spans="1:168" ht="15" thickBot="1">
      <c r="A12" s="500">
        <f>Datos!AO12</f>
        <v>3</v>
      </c>
      <c r="B12" s="506" t="s">
        <v>247</v>
      </c>
      <c r="C12" s="7" t="str">
        <f>Datos!A12</f>
        <v xml:space="preserve">Sección Civil y de Inst. TI                      </v>
      </c>
      <c r="D12" s="507"/>
      <c r="E12" s="259">
        <f>IF(ISNUMBER(Datos!AQ12),Datos!AQ12," - ")</f>
        <v>3</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25</v>
      </c>
      <c r="O12" s="333"/>
      <c r="P12" s="333"/>
      <c r="Q12" s="225">
        <f>IF(ISNUMBER(Datos!P12),Datos!P12,0)</f>
        <v>230</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86" t="e">
        <f>(W12/Datos!ER12)*factor_trimestre</f>
        <v>#VALUE!</v>
      </c>
      <c r="Y12" s="224" t="str">
        <f>IF(ISNUMBER(Datos!CB12),Datos!CB12," - ")</f>
        <v xml:space="preserve"> - </v>
      </c>
      <c r="Z12" s="224" t="str">
        <f>IF(ISNUMBER(Datos!BY12),Datos!BY12," - ")</f>
        <v xml:space="preserve"> - </v>
      </c>
      <c r="AA12" s="1449" t="str">
        <f>IF(ISNUMBER((Z12*factor_trimestre)/DatosB!CN12),(Z12*factor_trimestre)/DatosB!CN12,"-")</f>
        <v>-</v>
      </c>
      <c r="AB12" s="224" t="str">
        <f>IF(ISNUMBER(IF(J_V="SI",Datos!K12,Datos!K12+Datos!AA12)-IF(Monitorios="SI",Datos!CC12,0)),
                          IF(J_V="SI",Datos!K12,Datos!K12+Datos!AA12)-IF(Monitorios="SI",Datos!CC12,0),
                          " - ")</f>
        <v xml:space="preserve"> - </v>
      </c>
      <c r="AC12" s="224">
        <f>IF(ISNUMBER(Datos!Q12),Datos!Q12," - ")</f>
        <v>279</v>
      </c>
      <c r="AD12" s="224" t="str">
        <f>IF(ISNUMBER(Datos!CC12),Datos!CC12," - ")</f>
        <v xml:space="preserve"> - </v>
      </c>
      <c r="AE12" s="224" t="str">
        <f>IF(ISNUMBER(Datos!EM12),Datos!EM12," - ")</f>
        <v xml:space="preserve"> - </v>
      </c>
      <c r="AF12" s="224" t="str">
        <f>IF(ISNUMBER(IF(J_V="SI",Datos!L12,Datos!L12+Datos!AB12)-IF(Monitorios="SI",Datos!CD12,0)),
                          IF(J_V="SI",Datos!L12,Datos!L12+Datos!AB12)-IF(Monitorios="SI",Datos!CD12,0),
                          " - ")</f>
        <v xml:space="preserve"> - </v>
      </c>
      <c r="AG12" s="333"/>
      <c r="AH12" s="224">
        <f>IF(ISNUMBER(Datos!AB12),Datos!AB12,"-")</f>
        <v>24</v>
      </c>
      <c r="AI12" s="224" t="str">
        <f>IF(ISNUMBER(Datos!CD12),Datos!CD12,"-")</f>
        <v>-</v>
      </c>
      <c r="AJ12" s="1214" t="str">
        <f>IF(ISNUMBER(Datos!EN12),Datos!EN12," - ")</f>
        <v xml:space="preserve"> - </v>
      </c>
      <c r="AK12" s="333"/>
      <c r="AL12" s="478"/>
      <c r="AM12" s="1214">
        <f>IF(ISNUMBER(Datos!R12),Datos!R12," - ")</f>
        <v>2852</v>
      </c>
      <c r="AN12" s="333"/>
      <c r="AO12" s="333"/>
      <c r="AP12" s="333"/>
      <c r="AQ12" s="333"/>
      <c r="AR12" s="333"/>
      <c r="AS12" s="333" t="str">
        <f>IF(ISNUMBER(Datos!BV12),Datos!BV12," - ")</f>
        <v xml:space="preserve"> - </v>
      </c>
      <c r="AT12" s="1214" t="str">
        <f>IF(ISNUMBER(Datos!CK12),Datos!CK12," - ")</f>
        <v xml:space="preserve"> - </v>
      </c>
      <c r="AU12" s="1214" t="str">
        <f>IF(ISNUMBER(Datos!CL12),Datos!CL12," - ")</f>
        <v xml:space="preserve"> - </v>
      </c>
      <c r="AV12" s="1214" t="str">
        <f>IF(ISNUMBER(Datos!CM12),Datos!CM12," - ")</f>
        <v xml:space="preserve"> - </v>
      </c>
      <c r="AW12" s="1236" t="str">
        <f>IF(ISNUMBER(Datos!DV12),Datos!DV12," - ")</f>
        <v xml:space="preserve"> - </v>
      </c>
      <c r="AX12" s="1214" t="str">
        <f>IF(ISNUMBER(Datos!DW12),Datos!DW12," - ")</f>
        <v xml:space="preserve"> - </v>
      </c>
      <c r="AY12" s="1214" t="str">
        <f>IF(ISNUMBER(Datos!DX12),Datos!DX12," - ")</f>
        <v xml:space="preserve"> - </v>
      </c>
      <c r="AZ12" s="1214" t="str">
        <f>IF(ISNUMBER(Datos!DY12),Datos!DY12," - ")</f>
        <v xml:space="preserve"> - </v>
      </c>
      <c r="BA12" s="297"/>
      <c r="BB12" s="226"/>
      <c r="BC12" s="224">
        <f>IF(ISNUMBER(Datos!M12),Datos!M12," - ")</f>
        <v>243</v>
      </c>
      <c r="BD12" s="228">
        <f>IF(ISNUMBER(Datos!N12),Datos!N12," - ")</f>
        <v>200</v>
      </c>
      <c r="BE12" s="1214" t="str">
        <f>IF(ISNUMBER(Datos!BW12),Datos!BW12," - ")</f>
        <v xml:space="preserve"> - </v>
      </c>
      <c r="BF12" s="1214" t="str">
        <f>IF(ISNUMBER(Datos!BX12),Datos!BX12," - ")</f>
        <v xml:space="preserve"> - </v>
      </c>
      <c r="BG12" s="242">
        <f>IF(ISNUMBER(IF(J_V="SI",Datos!K12/Datos!J12,(Datos!K12+Datos!AA12)/(Datos!J12+Datos!Z12))),IF(J_V="SI",Datos!K12/Datos!J12,(Datos!K12+Datos!AA12)/(Datos!J12+Datos!Z12))," - ")</f>
        <v>1.0292682926829269</v>
      </c>
      <c r="BH12" s="1214">
        <f>IF(ISNUMBER(((IF(J_V="SI",Datos!L12/Datos!K12,(Datos!L12+Datos!AB12)/(Datos!K12+Datos!AA12)))*11)/factor_trimestre),((IF(J_V="SI",Datos!L12/Datos!K12,(Datos!L12+Datos!AB12)/(Datos!K12+Datos!AA12)))*11)/factor_trimestre," - ")</f>
        <v>7.8815165876777247</v>
      </c>
      <c r="BI12" s="242"/>
      <c r="BJ12" s="1449" t="str">
        <f>IF(ISNUMBER(Datos!CI12/Datos!CJ12),Datos!CI12/Datos!CJ12," - ")</f>
        <v xml:space="preserve"> - </v>
      </c>
      <c r="BK12" s="359" t="str">
        <f>IF(ISNUMBER(Datos!CJ12),Datos!CJ12," - ")</f>
        <v xml:space="preserve"> - </v>
      </c>
      <c r="BL12" s="229" t="str">
        <f t="shared" si="0"/>
        <v xml:space="preserve"> - </v>
      </c>
      <c r="BM12" s="609">
        <f>IF(ISNUMBER((Datos!P12-Datos!Q12+Datos!DE12)/(Datos!R12-Datos!P12+Datos!Q12-Datos!DE12)),(Datos!P12-Datos!Q12+Datos!DE12)/(Datos!R12-Datos!P12+Datos!Q12-Datos!DE12)," - ")</f>
        <v>-1.6890727335401586E-2</v>
      </c>
      <c r="BN12" s="601"/>
      <c r="BO12" s="601"/>
      <c r="BP12" s="1214" t="str">
        <f>IF(ISNUMBER(Datos!EV12),Datos!EV12," - ")</f>
        <v xml:space="preserve"> - </v>
      </c>
      <c r="BQ12" s="1214" t="str">
        <f>IF(ISNUMBER(Datos!CW12),Datos!CW12," - ")</f>
        <v xml:space="preserve"> - </v>
      </c>
      <c r="BR12" s="265"/>
      <c r="BS12" s="265"/>
      <c r="BT12" s="1440">
        <f>--Datos!CX12</f>
        <v>0</v>
      </c>
      <c r="BU12" s="479">
        <f>Datos!DU12</f>
        <v>0</v>
      </c>
      <c r="BV12" s="1102">
        <f>Datos!ER12/factor_trimestre</f>
        <v>185.45454545454547</v>
      </c>
      <c r="BW12" s="228" t="str">
        <f>MID(Datos!EZ12,1,2)</f>
        <v/>
      </c>
      <c r="BX12" s="228" t="str">
        <f>MID(Datos!EZ12,3,3)</f>
        <v/>
      </c>
      <c r="BY12" s="1191">
        <f ca="1">AVERAGEIF($BW:$BW,BW12,$I:$I)</f>
        <v>0</v>
      </c>
      <c r="BZ12" s="1191">
        <f ca="1">AVERAGEIFS($I:$I,$BW:$BW,BW12,$BX:$BX,BX12)</f>
        <v>0</v>
      </c>
      <c r="CA12" s="1191">
        <v>1.3</v>
      </c>
      <c r="CB12" s="1191">
        <f ca="1">AVERAGEIF($BW:$BW,$BW12,$Y:$Y)</f>
        <v>0</v>
      </c>
      <c r="CC12" s="1191">
        <f ca="1">AVERAGEIFS($Y:$Y,$BW:$BW,$BW12,$BX:$BX,$BX12)</f>
        <v>0</v>
      </c>
      <c r="CD12" s="1191">
        <v>1.3</v>
      </c>
      <c r="CE12" s="1191">
        <f ca="1">AVERAGEIF($BW:$BW,BW12,$AB:$AB)</f>
        <v>153.61638673997371</v>
      </c>
      <c r="CF12" s="228">
        <f ca="1">AVERAGEIFS($AB:$AB,$BW:$BW,BW12,$BX:$BX,BX12)</f>
        <v>153.61638673997371</v>
      </c>
      <c r="CG12" s="1191">
        <v>0.7</v>
      </c>
      <c r="CH12" s="1191">
        <f ca="1">AVERAGEIF($BW:$BW,BW12,$AC:$AC)</f>
        <v>88.8</v>
      </c>
      <c r="CI12" s="228">
        <f ca="1">AVERAGEIFS($AC:$AC,$BW:$BW,BW12,$BX:$BX,BX12)</f>
        <v>88.8</v>
      </c>
      <c r="CJ12" s="1191">
        <v>0.7</v>
      </c>
      <c r="CK12" s="1191">
        <f ca="1">AVERAGEIF($BW:$BW,$BW12,$AD:$AD)</f>
        <v>0</v>
      </c>
      <c r="CL12" s="228">
        <f ca="1">AVERAGEIFS($AD:$AD,$BW:$BW,$BW12,$BX:$BX,$BX12)</f>
        <v>0</v>
      </c>
      <c r="CM12" s="1191">
        <v>0.7</v>
      </c>
      <c r="CN12" s="1191">
        <f ca="1">AVERAGEIF($BW:$BW,$BW12,$AE:$AE)</f>
        <v>0</v>
      </c>
      <c r="CO12" s="228">
        <f ca="1">AVERAGEIFS($AE:$AE,$BW:$BW,$BW12,$BX:$BX,$BX12)</f>
        <v>0</v>
      </c>
      <c r="CP12" s="1191">
        <v>0.7</v>
      </c>
      <c r="CQ12" s="1191">
        <f ca="1">AVERAGEIF($BW:$BW,BW12,$AF:$AF)</f>
        <v>474.66666666666669</v>
      </c>
      <c r="CR12" s="228">
        <f ca="1">AVERAGEIFS($AF:$AF,$BW:$BW,BW12,$BX:$BX,BX12)</f>
        <v>474.66666666666669</v>
      </c>
      <c r="CS12" s="1191">
        <v>1.3</v>
      </c>
      <c r="CT12" s="1191">
        <v>1.5</v>
      </c>
      <c r="CU12" s="1191">
        <f ca="1">AVERAGEIF($BW:$BW,$BW12,$AH:$AH)</f>
        <v>10.285714285714286</v>
      </c>
      <c r="CV12" s="228">
        <f ca="1">AVERAGEIFS($AH:$AH,$BW:$BW,$BW12,$BX:$BX,$BX12)</f>
        <v>10.285714285714286</v>
      </c>
      <c r="CW12" s="1191">
        <v>1.3</v>
      </c>
      <c r="CX12" s="1191">
        <v>1.5</v>
      </c>
      <c r="CY12" s="1191">
        <f ca="1">AVERAGEIF($BW:$BW,$BW12,$AI:$AI)</f>
        <v>0</v>
      </c>
      <c r="CZ12" s="228">
        <f ca="1">AVERAGEIFS($AI:$AI,$BW:$BW,$BW12,$BX:$BX,$BX12)</f>
        <v>0</v>
      </c>
      <c r="DA12" s="1191">
        <v>1.3</v>
      </c>
      <c r="DB12" s="1191">
        <v>1.5</v>
      </c>
      <c r="DC12" s="1191">
        <f ca="1">AVERAGEIF($BW:$BW,$BW12,$AJ:$AJ)</f>
        <v>0</v>
      </c>
      <c r="DD12" s="1218">
        <f ca="1">AVERAGEIFS($AJ:$AJ,$BW:$BW,$BW12,$BX:$BX,$BX12)</f>
        <v>0</v>
      </c>
      <c r="DE12" s="1191">
        <v>1.3</v>
      </c>
      <c r="DF12" s="1191">
        <v>1.5</v>
      </c>
      <c r="DG12" s="1191">
        <f ca="1">AVERAGEIF($BW:$BW,$BW12,$AM:$AM)</f>
        <v>872.1</v>
      </c>
      <c r="DH12" s="1218">
        <f ca="1">AVERAGEIFS($AM:$AM,$BW:$BW,$BW12,$BX:$BX,$BX12)</f>
        <v>872.1</v>
      </c>
      <c r="DI12" s="1191">
        <v>1.3</v>
      </c>
      <c r="DJ12" s="1191">
        <v>1.5</v>
      </c>
      <c r="DK12" s="1191">
        <v>1</v>
      </c>
      <c r="DL12" s="1191">
        <v>1</v>
      </c>
      <c r="DM12" s="1191">
        <v>25</v>
      </c>
      <c r="DN12" s="1191">
        <v>25</v>
      </c>
      <c r="DO12" s="1191">
        <v>1</v>
      </c>
      <c r="DP12" s="1191">
        <v>1</v>
      </c>
      <c r="DQ12" s="1191">
        <v>10</v>
      </c>
      <c r="DR12" s="1191">
        <v>10</v>
      </c>
      <c r="DS12" s="1191">
        <v>1</v>
      </c>
      <c r="DT12" s="1191">
        <v>1</v>
      </c>
      <c r="DU12" s="1191">
        <v>0</v>
      </c>
      <c r="DV12" s="1191">
        <v>0</v>
      </c>
      <c r="DW12" s="1191">
        <v>1</v>
      </c>
      <c r="DX12" s="1191">
        <v>1</v>
      </c>
      <c r="DY12" s="1191">
        <v>25</v>
      </c>
      <c r="DZ12" s="1191">
        <v>25</v>
      </c>
      <c r="EA12" s="1191">
        <v>1</v>
      </c>
      <c r="EB12" s="1191">
        <v>1</v>
      </c>
      <c r="EC12" s="1191">
        <v>10</v>
      </c>
      <c r="ED12" s="1191">
        <v>10</v>
      </c>
      <c r="EE12" s="1191">
        <v>1</v>
      </c>
      <c r="EF12" s="1191">
        <v>1</v>
      </c>
      <c r="EG12" s="1191">
        <v>0</v>
      </c>
      <c r="EH12" s="1191">
        <v>0</v>
      </c>
      <c r="EI12" s="1191">
        <f ca="1">AVERAGEIF($BW:$BW,$BW12,$BE:$BE)</f>
        <v>0</v>
      </c>
      <c r="EJ12" s="1218">
        <f ca="1">AVERAGEIFS($BE:$BE,$BW:$BW,$BW12,$BX:$BX,$BX12)</f>
        <v>0</v>
      </c>
      <c r="EK12" s="1191">
        <v>1.3</v>
      </c>
      <c r="EL12" s="1191">
        <v>1.5</v>
      </c>
      <c r="EM12" s="1191">
        <f ca="1">AVERAGEIF($BW:$BW,$BW12,$BF:$BF)</f>
        <v>0</v>
      </c>
      <c r="EN12" s="1218">
        <f ca="1">AVERAGEIFS($BF:$BF,$BW:$BW,$BW12,$BX:$BX,$BX12)</f>
        <v>0</v>
      </c>
      <c r="EO12" s="1191">
        <v>1.3</v>
      </c>
      <c r="EP12" s="1191">
        <v>1.5</v>
      </c>
      <c r="EQ12" s="1191">
        <f ca="1">AVERAGEIF($BW:$BW,$BW12,$BH:$BH)</f>
        <v>5.0619643263290968</v>
      </c>
      <c r="ER12" s="1218">
        <f ca="1">AVERAGEIFS($BH:$BH,$BW:$BW,$BW12,$BX:$BX,$BX12)</f>
        <v>5.0619643263290968</v>
      </c>
      <c r="ES12" s="1191">
        <v>1.3</v>
      </c>
      <c r="ET12" s="1191">
        <v>1.5</v>
      </c>
      <c r="EU12" s="1185" t="e">
        <f ca="1">AVERAGEIF($BW:$BW,$BW12,$BJ:$BJ)</f>
        <v>#DIV/0!</v>
      </c>
      <c r="EV12" s="1444" t="e">
        <f ca="1">AVERAGEIFS($BJ:$BJ,$BW:$BW,$BW12,$BX:$BX,$BX12)</f>
        <v>#DIV/0!</v>
      </c>
      <c r="EW12" s="1191">
        <v>1.3</v>
      </c>
      <c r="EX12" s="1191">
        <f ca="1">AVERAGEIF($BW:$BW,$BW12,$BP:$BP)</f>
        <v>0</v>
      </c>
      <c r="EY12" s="1218">
        <f ca="1">AVERAGEIFS($BP:$BP,$BW:$BW,$BW12,$BX:$BX,$BX12)</f>
        <v>0</v>
      </c>
      <c r="EZ12" s="1191">
        <v>1.3</v>
      </c>
      <c r="FA12" s="1191">
        <v>1.5</v>
      </c>
      <c r="FB12" s="1191">
        <f ca="1">AVERAGEIF($BW:$BW,$BW12,$BQ:$BQ)</f>
        <v>0</v>
      </c>
      <c r="FC12" s="1218">
        <f ca="1">AVERAGEIFS($BQ:$BQ,$BW:$BW,$BW12,$BX:$BX,$BX12)</f>
        <v>0</v>
      </c>
      <c r="FD12" s="1191">
        <v>1.3</v>
      </c>
      <c r="FE12" s="1191">
        <v>1.5</v>
      </c>
      <c r="FF12" s="1185">
        <f ca="1">AVERAGEIF($BW:$BW,$BW12,$AA:$AA)</f>
        <v>0</v>
      </c>
      <c r="FG12" s="1444">
        <f ca="1">AVERAGEIFS($AA:$AA,$BW:$BW,$BW12,$BX:$BX,$BX12)</f>
        <v>0</v>
      </c>
      <c r="FH12" s="1191">
        <v>0.7</v>
      </c>
      <c r="FL12" s="1181">
        <f>Datos!EZ12</f>
        <v>0</v>
      </c>
    </row>
    <row r="13" spans="1:168" ht="15.75" thickTop="1" thickBot="1">
      <c r="A13" s="177"/>
      <c r="B13" s="177"/>
      <c r="C13" s="860" t="str">
        <f>Datos!A13</f>
        <v>TOTAL</v>
      </c>
      <c r="D13" s="894"/>
      <c r="E13" s="1159">
        <f t="shared" ref="E13:Z13" si="1">SUBTOTAL(9,E8:E12)</f>
        <v>3</v>
      </c>
      <c r="F13" s="895">
        <f t="shared" si="1"/>
        <v>0</v>
      </c>
      <c r="G13" s="895">
        <f t="shared" si="1"/>
        <v>0</v>
      </c>
      <c r="H13" s="896">
        <f t="shared" si="1"/>
        <v>0</v>
      </c>
      <c r="I13" s="895">
        <f t="shared" si="1"/>
        <v>0</v>
      </c>
      <c r="J13" s="864">
        <f t="shared" si="1"/>
        <v>0</v>
      </c>
      <c r="K13" s="864">
        <f t="shared" si="1"/>
        <v>0</v>
      </c>
      <c r="L13" s="896">
        <f t="shared" si="1"/>
        <v>0</v>
      </c>
      <c r="M13" s="896">
        <f t="shared" si="1"/>
        <v>0</v>
      </c>
      <c r="N13" s="896">
        <f t="shared" si="1"/>
        <v>25</v>
      </c>
      <c r="O13" s="897">
        <f t="shared" si="1"/>
        <v>0</v>
      </c>
      <c r="P13" s="897">
        <f t="shared" si="1"/>
        <v>0</v>
      </c>
      <c r="Q13" s="896">
        <f t="shared" si="1"/>
        <v>230</v>
      </c>
      <c r="R13" s="896">
        <f t="shared" si="1"/>
        <v>0</v>
      </c>
      <c r="S13" s="898">
        <f t="shared" si="1"/>
        <v>0</v>
      </c>
      <c r="T13" s="898">
        <f t="shared" si="1"/>
        <v>0</v>
      </c>
      <c r="U13" s="896">
        <f t="shared" si="1"/>
        <v>0</v>
      </c>
      <c r="V13" s="1109">
        <f t="shared" si="1"/>
        <v>0</v>
      </c>
      <c r="W13" s="864">
        <f t="shared" si="1"/>
        <v>0</v>
      </c>
      <c r="X13" s="866" t="e">
        <f t="shared" si="1"/>
        <v>#VALUE!</v>
      </c>
      <c r="Y13" s="897">
        <f t="shared" si="1"/>
        <v>0</v>
      </c>
      <c r="Z13" s="896">
        <f t="shared" si="1"/>
        <v>0</v>
      </c>
      <c r="AA13" s="899">
        <f>IF(ISNUMBER((Z13*factor_trimestre)/Datos!CN13),(Z13*factor_trimestre)/Datos!CN13,"-")</f>
        <v>0</v>
      </c>
      <c r="AB13" s="896">
        <f t="shared" ref="AB13:BF13" si="2">SUBTOTAL(9,AB8:AB12)</f>
        <v>0</v>
      </c>
      <c r="AC13" s="896">
        <f t="shared" si="2"/>
        <v>279</v>
      </c>
      <c r="AD13" s="896">
        <f t="shared" si="2"/>
        <v>0</v>
      </c>
      <c r="AE13" s="896">
        <f t="shared" si="2"/>
        <v>0</v>
      </c>
      <c r="AF13" s="896">
        <f t="shared" si="2"/>
        <v>0</v>
      </c>
      <c r="AG13" s="896">
        <f t="shared" si="2"/>
        <v>0</v>
      </c>
      <c r="AH13" s="896">
        <f t="shared" si="2"/>
        <v>24</v>
      </c>
      <c r="AI13" s="896">
        <f t="shared" si="2"/>
        <v>0</v>
      </c>
      <c r="AJ13" s="896">
        <f t="shared" si="2"/>
        <v>0</v>
      </c>
      <c r="AK13" s="896">
        <f t="shared" si="2"/>
        <v>0</v>
      </c>
      <c r="AL13" s="896">
        <f t="shared" si="2"/>
        <v>0</v>
      </c>
      <c r="AM13" s="896">
        <f t="shared" si="2"/>
        <v>2852</v>
      </c>
      <c r="AN13" s="896">
        <f t="shared" si="2"/>
        <v>0</v>
      </c>
      <c r="AO13" s="896">
        <f t="shared" si="2"/>
        <v>0</v>
      </c>
      <c r="AP13" s="896">
        <f t="shared" si="2"/>
        <v>0</v>
      </c>
      <c r="AQ13" s="896">
        <f t="shared" si="2"/>
        <v>0</v>
      </c>
      <c r="AR13" s="896">
        <f t="shared" si="2"/>
        <v>0</v>
      </c>
      <c r="AS13" s="896">
        <f t="shared" si="2"/>
        <v>0</v>
      </c>
      <c r="AT13" s="896">
        <f t="shared" si="2"/>
        <v>0</v>
      </c>
      <c r="AU13" s="896">
        <f t="shared" si="2"/>
        <v>0</v>
      </c>
      <c r="AV13" s="896">
        <f t="shared" si="2"/>
        <v>0</v>
      </c>
      <c r="AW13" s="896">
        <f t="shared" si="2"/>
        <v>0</v>
      </c>
      <c r="AX13" s="896">
        <f t="shared" si="2"/>
        <v>0</v>
      </c>
      <c r="AY13" s="896">
        <f t="shared" si="2"/>
        <v>0</v>
      </c>
      <c r="AZ13" s="896">
        <f t="shared" si="2"/>
        <v>0</v>
      </c>
      <c r="BA13" s="896">
        <f t="shared" si="2"/>
        <v>0</v>
      </c>
      <c r="BB13" s="896">
        <f t="shared" si="2"/>
        <v>0</v>
      </c>
      <c r="BC13" s="896">
        <f t="shared" si="2"/>
        <v>243</v>
      </c>
      <c r="BD13" s="896">
        <f t="shared" si="2"/>
        <v>200</v>
      </c>
      <c r="BE13" s="896">
        <f t="shared" si="2"/>
        <v>0</v>
      </c>
      <c r="BF13" s="896">
        <f t="shared" si="2"/>
        <v>0</v>
      </c>
      <c r="BG13" s="896">
        <f>IF(ISNUMBER(Datos!K13/Datos!J13),Datos!K13/Datos!J13," - ")</f>
        <v>1.0254237288135593</v>
      </c>
      <c r="BH13" s="900">
        <f>IF(ISNUMBER(((Datos!L13/Datos!K13)*11)/factor_trimestre),((Datos!L13/Datos!K13)*11)/factor_trimestre," - ")</f>
        <v>8.127272727272727</v>
      </c>
      <c r="BI13" s="896">
        <f>IF(ISNUMBER('Resol  Asuntos'!D13/NºAsuntos!G13),'Resol  Asuntos'!D13/NºAsuntos!G13," - ")</f>
        <v>0.38388625592417064</v>
      </c>
      <c r="BJ13" s="896" t="str">
        <f>IF(ISNUMBER(Datos!CI13/Datos!CJ13),Datos!CI13/Datos!CJ13," - ")</f>
        <v xml:space="preserve"> - </v>
      </c>
      <c r="BK13" s="896">
        <f>SUBTOTAL(9,BK8:BK12)</f>
        <v>0</v>
      </c>
      <c r="BL13" s="896" t="str">
        <f>IF(ISNUMBER((I13-AB13+L13)/(F13)),(I13-AB13+L13)/(F13)," - ")</f>
        <v xml:space="preserve"> - </v>
      </c>
      <c r="BM13" s="901">
        <f>SUBTOTAL(9,BM9:BM12)</f>
        <v>-1.6890727335401586E-2</v>
      </c>
      <c r="BN13" s="896">
        <f t="shared" ref="BN13:BV13" si="3">SUBTOTAL(9,BN8:BN12)</f>
        <v>0</v>
      </c>
      <c r="BO13" s="896">
        <f t="shared" si="3"/>
        <v>0</v>
      </c>
      <c r="BP13" s="896">
        <f t="shared" si="3"/>
        <v>0</v>
      </c>
      <c r="BQ13" s="896">
        <f t="shared" si="3"/>
        <v>0</v>
      </c>
      <c r="BR13" s="896">
        <f t="shared" si="3"/>
        <v>0</v>
      </c>
      <c r="BS13" s="896">
        <f t="shared" si="3"/>
        <v>0</v>
      </c>
      <c r="BT13" s="896">
        <f t="shared" si="3"/>
        <v>0</v>
      </c>
      <c r="BU13" s="896">
        <f t="shared" si="3"/>
        <v>0</v>
      </c>
      <c r="BV13" s="906">
        <f t="shared" si="3"/>
        <v>1309.909090909091</v>
      </c>
      <c r="BW13" s="905"/>
      <c r="BX13" s="905"/>
      <c r="BY13" s="866"/>
      <c r="BZ13" s="866"/>
      <c r="CA13" s="866"/>
      <c r="CB13" s="866"/>
      <c r="CC13" s="866"/>
      <c r="CD13" s="866"/>
      <c r="CE13" s="896"/>
      <c r="CF13" s="896"/>
      <c r="CG13" s="896"/>
      <c r="CH13" s="896"/>
      <c r="CI13" s="896"/>
      <c r="CJ13" s="896"/>
      <c r="CK13" s="896"/>
      <c r="CL13" s="896"/>
      <c r="CM13" s="896"/>
      <c r="CN13" s="896"/>
      <c r="CO13" s="896"/>
      <c r="CP13" s="896"/>
      <c r="CQ13" s="896"/>
      <c r="CR13" s="896"/>
      <c r="CS13" s="896"/>
      <c r="CT13" s="896"/>
      <c r="CU13" s="896"/>
      <c r="CV13" s="896"/>
      <c r="CW13" s="896"/>
      <c r="CX13" s="896"/>
      <c r="CY13" s="896"/>
      <c r="CZ13" s="896"/>
      <c r="DA13" s="896"/>
      <c r="DB13" s="896"/>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c r="EQ13" s="1392"/>
      <c r="ER13" s="1392"/>
      <c r="ES13" s="1392"/>
      <c r="ET13" s="1392"/>
      <c r="EU13" s="1392"/>
      <c r="EV13" s="1392"/>
      <c r="EW13" s="1392"/>
      <c r="EX13" s="1392"/>
      <c r="EY13" s="1392"/>
      <c r="EZ13" s="1392"/>
      <c r="FA13" s="1392"/>
      <c r="FB13" s="1392"/>
      <c r="FC13" s="1392"/>
      <c r="FD13" s="1392"/>
      <c r="FE13" s="1392"/>
      <c r="FF13" s="1392"/>
      <c r="FG13" s="1392"/>
      <c r="FH13" s="1392"/>
      <c r="FL13" s="1181"/>
    </row>
    <row r="14" spans="1:16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87"/>
      <c r="Y14" s="607"/>
      <c r="Z14" s="224"/>
      <c r="AA14" s="477"/>
      <c r="AB14" s="224"/>
      <c r="AC14" s="225"/>
      <c r="AD14" s="236"/>
      <c r="AE14" s="236"/>
      <c r="AF14" s="497"/>
      <c r="AG14" s="333"/>
      <c r="AH14" s="333"/>
      <c r="AI14" s="333"/>
      <c r="AJ14" s="333"/>
      <c r="AK14" s="333"/>
      <c r="AL14" s="478"/>
      <c r="AM14" s="121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3"/>
      <c r="BW14" s="498" t="str">
        <f>MID(Datos!EZ15,1,2)</f>
        <v/>
      </c>
      <c r="BX14" s="498"/>
      <c r="BY14" s="1186"/>
      <c r="BZ14" s="1186"/>
      <c r="CA14" s="1186"/>
      <c r="CB14" s="1186"/>
      <c r="CC14" s="1186"/>
      <c r="CD14" s="1186"/>
      <c r="CE14" s="228"/>
      <c r="CF14" s="228"/>
      <c r="CG14" s="228"/>
      <c r="CH14" s="228"/>
      <c r="CI14" s="228"/>
      <c r="CJ14" s="228"/>
      <c r="CK14" s="228"/>
      <c r="CL14" s="228"/>
      <c r="CM14" s="228"/>
      <c r="CN14" s="228"/>
      <c r="CO14" s="228"/>
      <c r="CP14" s="228"/>
      <c r="CQ14" s="228"/>
      <c r="CR14" s="228"/>
      <c r="CS14" s="228"/>
      <c r="CT14" s="228"/>
      <c r="CU14" s="228"/>
      <c r="CV14" s="228"/>
      <c r="CW14" s="228"/>
      <c r="CX14" s="228"/>
      <c r="CY14" s="228"/>
      <c r="CZ14" s="228"/>
      <c r="DA14" s="228"/>
      <c r="DB14" s="22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c r="EQ14" s="1218"/>
      <c r="ER14" s="1218"/>
      <c r="ES14" s="1218"/>
      <c r="ET14" s="1218"/>
      <c r="EU14" s="1218"/>
      <c r="EV14" s="1218"/>
      <c r="EW14" s="1218"/>
      <c r="EX14" s="1218"/>
      <c r="EY14" s="1218"/>
      <c r="EZ14" s="1218"/>
      <c r="FA14" s="1218"/>
      <c r="FB14" s="1218"/>
      <c r="FC14" s="1218"/>
      <c r="FD14" s="1218"/>
      <c r="FE14" s="1218"/>
      <c r="FF14" s="1218"/>
      <c r="FG14" s="1218"/>
      <c r="FH14" s="1218"/>
      <c r="FL14" s="1181">
        <f>Datos!EZ14</f>
        <v>0</v>
      </c>
    </row>
    <row r="15" spans="1:168" s="597" customFormat="1" ht="14.25">
      <c r="A15" s="592">
        <f>Datos!AO15</f>
        <v>0</v>
      </c>
      <c r="B15" s="593" t="s">
        <v>397</v>
      </c>
      <c r="C15" s="598" t="str">
        <f>Datos!A15</f>
        <v xml:space="preserve">Seccion Instruccion Del T.I.                   </v>
      </c>
      <c r="D15" s="599"/>
      <c r="E15" s="1160">
        <f>IF(ISNUMBER(Datos!AQ15),Datos!AQ15," - ")</f>
        <v>0</v>
      </c>
      <c r="F15" s="594" t="str">
        <f>IF(ISNUMBER(AF15+AB15-Datos!J15-L15),AF15+AB15-Datos!J15-L15," - ")</f>
        <v xml:space="preserve"> - </v>
      </c>
      <c r="G15" s="596" t="str">
        <f>IF(ISNUMBER(IF(D_I="SI",Datos!I15,Datos!I15+Datos!AC15)),IF(D_I="SI",Datos!I15,Datos!I15+Datos!AC15)," - ")</f>
        <v xml:space="preserve"> - </v>
      </c>
      <c r="H15" s="600"/>
      <c r="I15" s="224" t="str">
        <f>IF(ISNUMBER(Datos!DC15),Datos!DC15," - ")</f>
        <v xml:space="preserve"> - </v>
      </c>
      <c r="J15" s="225" t="str">
        <f>IF(ISNUMBER(Datos!DC15),Datos!DC15," - ")</f>
        <v xml:space="preserve"> - </v>
      </c>
      <c r="K15" s="610"/>
      <c r="L15" s="600">
        <f>IF(ISNUMBER(Datos!DF15),Datos!DF15,0)</f>
        <v>0</v>
      </c>
      <c r="M15" s="225">
        <f>IF(ISNUMBER(Datos!DM15),Datos!DM15,0)</f>
        <v>0</v>
      </c>
      <c r="N15" s="333"/>
      <c r="O15" s="610" t="str">
        <f>IF(ISNUMBER(Datos!EB15),Datos!EB15," - ")</f>
        <v xml:space="preserve"> - </v>
      </c>
      <c r="P15" s="610" t="str">
        <f>IF(ISNUMBER(Datos!EC15),Datos!EC15," - ")</f>
        <v xml:space="preserve"> - </v>
      </c>
      <c r="Q15" s="225">
        <f>IF(ISNUMBER(Datos!P15),Datos!P15,0)</f>
        <v>0</v>
      </c>
      <c r="R15" s="225" t="str">
        <f>IF(ISNUMBER(Datos!DE15),Datos!DE15," - ")</f>
        <v xml:space="preserve"> - </v>
      </c>
      <c r="S15" s="618" t="str">
        <f>IF(ISNUMBER(Datos!EB15*factor_trimestre/Datos!EE15),Datos!EB15*factor_trimestre/Datos!EE15," - ")</f>
        <v xml:space="preserve"> - </v>
      </c>
      <c r="T15" s="618"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86" t="e">
        <f>(W15/Datos!ER15)*factor_trimestre</f>
        <v>#VALUE!</v>
      </c>
      <c r="Y15" s="224"/>
      <c r="Z15" s="224">
        <f>IF(ISNUMBER(Datos!BY15+Datos!BZ15*1.16),Datos!BY15+Datos!BZ15*1.16," - ")</f>
        <v>0</v>
      </c>
      <c r="AA15" s="1449">
        <f>IF(ISNUMBER((Z15*factor_trimestre)/DatosB!CN15),(Z15*factor_trimestre)/DatosB!CN15,"-")</f>
        <v>0</v>
      </c>
      <c r="AB15" s="224" t="str">
        <f>IF(ISNUMBER(IF(D_I="SI",Datos!K15,Datos!K15+Datos!AE15)),IF(D_I="SI",Datos!K15,Datos!K15+Datos!AE15)," - ")</f>
        <v xml:space="preserve"> - </v>
      </c>
      <c r="AC15" s="224" t="str">
        <f>IF(ISNUMBER(Datos!Q15),Datos!Q15," - ")</f>
        <v xml:space="preserve"> - </v>
      </c>
      <c r="AD15" s="224"/>
      <c r="AE15" s="224"/>
      <c r="AF15" s="224" t="str">
        <f>IF(ISNUMBER(IF(D_I="SI",Datos!L15,Datos!L15+Datos!AF15)),IF(D_I="SI",Datos!L15,Datos!L15+Datos!AF15)," - ")</f>
        <v xml:space="preserve"> - </v>
      </c>
      <c r="AG15" s="333"/>
      <c r="AH15" s="224"/>
      <c r="AI15" s="224"/>
      <c r="AJ15" s="1214"/>
      <c r="AK15" s="333"/>
      <c r="AL15" s="478"/>
      <c r="AM15" s="1214" t="str">
        <f>IF(ISNUMBER(Datos!R15),Datos!R15," - ")</f>
        <v xml:space="preserve"> - </v>
      </c>
      <c r="AN15" s="333"/>
      <c r="AO15" s="333"/>
      <c r="AP15" s="333"/>
      <c r="AQ15" s="333"/>
      <c r="AR15" s="333"/>
      <c r="AS15" s="333" t="str">
        <f>IF(ISNUMBER(Datos!BV15),Datos!BV15," - ")</f>
        <v xml:space="preserve"> - </v>
      </c>
      <c r="AT15" s="1214" t="str">
        <f>IF(ISNUMBER(Datos!CK15),Datos!CK15," - ")</f>
        <v xml:space="preserve"> - </v>
      </c>
      <c r="AU15" s="1214" t="str">
        <f>IF(ISNUMBER(Datos!CL15),Datos!CL15," - ")</f>
        <v xml:space="preserve"> - </v>
      </c>
      <c r="AV15" s="1214" t="str">
        <f>IF(ISNUMBER(Datos!CM15),Datos!CM15," - ")</f>
        <v xml:space="preserve"> - </v>
      </c>
      <c r="AW15" s="1236" t="str">
        <f>IF(ISNUMBER(Datos!DV15),Datos!DV15," - ")</f>
        <v xml:space="preserve"> - </v>
      </c>
      <c r="AX15" s="1214"/>
      <c r="AY15" s="1214"/>
      <c r="AZ15" s="1214"/>
      <c r="BA15" s="297"/>
      <c r="BB15" s="226"/>
      <c r="BC15" s="224" t="str">
        <f>IF(ISNUMBER(Datos!M15),Datos!M15," - ")</f>
        <v xml:space="preserve"> - </v>
      </c>
      <c r="BD15" s="228" t="str">
        <f>IF(ISNUMBER(Datos!N15),Datos!N15," - ")</f>
        <v xml:space="preserve"> - </v>
      </c>
      <c r="BE15" s="1214" t="str">
        <f>IF(ISNUMBER(Datos!BW15),Datos!BW15," - ")</f>
        <v xml:space="preserve"> - </v>
      </c>
      <c r="BF15" s="1214" t="str">
        <f>IF(ISNUMBER(Datos!BX15),Datos!BX15," - ")</f>
        <v xml:space="preserve"> - </v>
      </c>
      <c r="BG15" s="242" t="str">
        <f>IF(ISNUMBER(IF(D_I="SI",Datos!K15/Datos!J15,(Datos!K15+Datos!AE15)/(Datos!J15+Datos!AD15))),IF(D_I="SI",Datos!K15/Datos!J15,(Datos!K15+Datos!AE15)/(Datos!J15+Datos!AD15))," - ")</f>
        <v xml:space="preserve"> - </v>
      </c>
      <c r="BH15" s="1214"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144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29" t="str">
        <f>IF(ISNUMBER(Datos!CS15),Datos!CS15," - ")</f>
        <v xml:space="preserve"> - </v>
      </c>
      <c r="BO15" s="629" t="str">
        <f>IF(ISNUMBER(Datos!EI15),Datos!EI15," - ")</f>
        <v xml:space="preserve"> - </v>
      </c>
      <c r="BP15" s="1214" t="str">
        <f>IF(ISNUMBER(Datos!EV15),Datos!EV15," - ")</f>
        <v xml:space="preserve"> - </v>
      </c>
      <c r="BQ15" s="1214" t="str">
        <f>IF(ISNUMBER(Datos!CW15),Datos!CW15," - ")</f>
        <v xml:space="preserve"> - </v>
      </c>
      <c r="BR15" s="595"/>
      <c r="BS15" s="595"/>
      <c r="BT15" s="1440">
        <f>--Datos!CX15</f>
        <v>0</v>
      </c>
      <c r="BU15" s="479">
        <f>Datos!DU15</f>
        <v>0</v>
      </c>
      <c r="BV15" s="1102">
        <f>Datos!ER15/factor_trimestre</f>
        <v>900</v>
      </c>
      <c r="BW15" s="635" t="str">
        <f>MID(Datos!EZ15,1,2)</f>
        <v/>
      </c>
      <c r="BX15" s="635" t="str">
        <f>MID(Datos!EZ15,3,3)</f>
        <v/>
      </c>
      <c r="BY15" s="1185">
        <f ca="1">AVERAGEIF($BW:$BW,BW15,$I:$I)</f>
        <v>0</v>
      </c>
      <c r="BZ15" s="1185">
        <f ca="1">AVERAGEIFS($I:$I,$BW:$BW,BW15,$BX:$BX,BX15)</f>
        <v>0</v>
      </c>
      <c r="CA15" s="1191">
        <v>1.3</v>
      </c>
      <c r="CB15" s="1185">
        <f ca="1">AVERAGEIF($BW:$BW,$BW15,$Y:$Y)</f>
        <v>0</v>
      </c>
      <c r="CC15" s="1185">
        <f ca="1">AVERAGEIFS($Y:$Y,$BW:$BW,$BW15,$BX:$BX,$BX15)</f>
        <v>0</v>
      </c>
      <c r="CD15" s="1191">
        <v>1.3</v>
      </c>
      <c r="CE15" s="1191">
        <f ca="1">AVERAGEIF($BW:$BW,BW15,$AB:$AB)</f>
        <v>153.61638673997371</v>
      </c>
      <c r="CF15" s="228">
        <f ca="1">AVERAGEIFS($AB:$AB,$BW:$BW,BW15,$BX:$BX,BX15)</f>
        <v>153.61638673997371</v>
      </c>
      <c r="CG15" s="1191">
        <v>0.7</v>
      </c>
      <c r="CH15" s="1191">
        <f ca="1">AVERAGEIF($BW:$BW,BW15,$AC:$AC)</f>
        <v>88.8</v>
      </c>
      <c r="CI15" s="228">
        <f ca="1">AVERAGEIFS($AC:$AC,$BW:$BW,BW15,$BX:$BX,BX15)</f>
        <v>88.8</v>
      </c>
      <c r="CJ15" s="1191">
        <v>0.7</v>
      </c>
      <c r="CK15" s="1191">
        <f ca="1">AVERAGEIF($BW:$BW,$BW15,$AD:$AD)</f>
        <v>0</v>
      </c>
      <c r="CL15" s="228">
        <f ca="1">AVERAGEIFS($AD:$AD,$BW:$BW,$BW15,$BX:$BX,$BX15)</f>
        <v>0</v>
      </c>
      <c r="CM15" s="1191">
        <v>0.7</v>
      </c>
      <c r="CN15" s="1191">
        <f ca="1">AVERAGEIF($BW:$BW,$BW15,$AE:$AE)</f>
        <v>0</v>
      </c>
      <c r="CO15" s="228">
        <f ca="1">AVERAGEIFS($AE:$AE,$BW:$BW,$BW15,$BX:$BX,$BX15)</f>
        <v>0</v>
      </c>
      <c r="CP15" s="1191">
        <v>0.7</v>
      </c>
      <c r="CQ15" s="1191">
        <f ca="1">AVERAGEIF($BW:$BW,BW15,$AF:$AF)</f>
        <v>474.66666666666669</v>
      </c>
      <c r="CR15" s="228">
        <f ca="1">AVERAGEIFS($AF:$AF,$BW:$BW,BW15,$BX:$BX,BX15)</f>
        <v>474.66666666666669</v>
      </c>
      <c r="CS15" s="1191">
        <v>1.3</v>
      </c>
      <c r="CT15" s="1191">
        <v>1.5</v>
      </c>
      <c r="CU15" s="1191">
        <f ca="1">AVERAGEIF($BW:$BW,$BW15,$AH:$AH)</f>
        <v>10.285714285714286</v>
      </c>
      <c r="CV15" s="228">
        <f ca="1">AVERAGEIFS($AH:$AH,$BW:$BW,$BW15,$BX:$BX,$BX15)</f>
        <v>10.285714285714286</v>
      </c>
      <c r="CW15" s="1191">
        <v>1.3</v>
      </c>
      <c r="CX15" s="1191">
        <v>1.5</v>
      </c>
      <c r="CY15" s="1191">
        <f ca="1">AVERAGEIF($BW:$BW,$BW15,$AI:$AI)</f>
        <v>0</v>
      </c>
      <c r="CZ15" s="228">
        <f ca="1">AVERAGEIFS($AI:$AI,$BW:$BW,$BW15,$BX:$BX,$BX15)</f>
        <v>0</v>
      </c>
      <c r="DA15" s="1191">
        <v>1.3</v>
      </c>
      <c r="DB15" s="1191">
        <v>1.5</v>
      </c>
      <c r="DC15" s="1191">
        <f ca="1">AVERAGEIF($BW:$BW,$BW15,$AJ:$AJ)</f>
        <v>0</v>
      </c>
      <c r="DD15" s="1218">
        <f ca="1">AVERAGEIFS($AJ:$AJ,$BW:$BW,$BW15,$BX:$BX,$BX15)</f>
        <v>0</v>
      </c>
      <c r="DE15" s="1191">
        <v>1.3</v>
      </c>
      <c r="DF15" s="1191">
        <v>1.5</v>
      </c>
      <c r="DG15" s="1191">
        <f ca="1">AVERAGEIF($BW:$BW,$BW15,$AM:$AM)</f>
        <v>872.1</v>
      </c>
      <c r="DH15" s="1218">
        <f ca="1">AVERAGEIFS($AM:$AM,$BW:$BW,$BW15,$BX:$BX,$BX15)</f>
        <v>872.1</v>
      </c>
      <c r="DI15" s="1191">
        <v>1.3</v>
      </c>
      <c r="DJ15" s="1191">
        <v>1.5</v>
      </c>
      <c r="DK15" s="1191">
        <v>1</v>
      </c>
      <c r="DL15" s="1191">
        <v>1</v>
      </c>
      <c r="DM15" s="1191">
        <v>25</v>
      </c>
      <c r="DN15" s="1191">
        <v>25</v>
      </c>
      <c r="DO15" s="1191">
        <v>1</v>
      </c>
      <c r="DP15" s="1191">
        <v>1</v>
      </c>
      <c r="DQ15" s="1191">
        <v>10</v>
      </c>
      <c r="DR15" s="1191">
        <v>10</v>
      </c>
      <c r="DS15" s="1191">
        <v>1</v>
      </c>
      <c r="DT15" s="1191">
        <v>1</v>
      </c>
      <c r="DU15" s="1191">
        <v>0</v>
      </c>
      <c r="DV15" s="1191">
        <v>0</v>
      </c>
      <c r="DW15" s="1191">
        <v>1</v>
      </c>
      <c r="DX15" s="1191">
        <v>1</v>
      </c>
      <c r="DY15" s="1191">
        <v>25</v>
      </c>
      <c r="DZ15" s="1191">
        <v>25</v>
      </c>
      <c r="EA15" s="1191">
        <v>1</v>
      </c>
      <c r="EB15" s="1191">
        <v>1</v>
      </c>
      <c r="EC15" s="1191">
        <v>10</v>
      </c>
      <c r="ED15" s="1191">
        <v>10</v>
      </c>
      <c r="EE15" s="1191">
        <v>1</v>
      </c>
      <c r="EF15" s="1191">
        <v>1</v>
      </c>
      <c r="EG15" s="1191">
        <v>0</v>
      </c>
      <c r="EH15" s="1191">
        <v>0</v>
      </c>
      <c r="EI15" s="1191">
        <f ca="1">AVERAGEIF($BW:$BW,$BW15,$BE:$BE)</f>
        <v>0</v>
      </c>
      <c r="EJ15" s="1218">
        <f ca="1">AVERAGEIFS($BE:$BE,$BW:$BW,$BW15,$BX:$BX,$BX15)</f>
        <v>0</v>
      </c>
      <c r="EK15" s="1191">
        <v>1.3</v>
      </c>
      <c r="EL15" s="1191">
        <v>1.5</v>
      </c>
      <c r="EM15" s="1191">
        <f ca="1">AVERAGEIF($BW:$BW,$BW15,$BF:$BF)</f>
        <v>0</v>
      </c>
      <c r="EN15" s="1218">
        <f ca="1">AVERAGEIFS($BF:$BF,$BW:$BW,$BW15,$BX:$BX,$BX15)</f>
        <v>0</v>
      </c>
      <c r="EO15" s="1191">
        <v>1.3</v>
      </c>
      <c r="EP15" s="1191">
        <v>1.5</v>
      </c>
      <c r="EQ15" s="1191">
        <f ca="1">AVERAGEIF($BW:$BW,$BW15,$BH:$BH)</f>
        <v>5.0619643263290968</v>
      </c>
      <c r="ER15" s="1218">
        <f ca="1">AVERAGEIFS($BH:$BH,$BW:$BW,$BW15,$BX:$BX,$BX15)</f>
        <v>5.0619643263290968</v>
      </c>
      <c r="ES15" s="1191">
        <v>1.3</v>
      </c>
      <c r="ET15" s="1191">
        <v>1.5</v>
      </c>
      <c r="EU15" s="1185" t="e">
        <f ca="1">AVERAGEIF($BW:$BW,$BW15,$BJ:$BJ)</f>
        <v>#DIV/0!</v>
      </c>
      <c r="EV15" s="1444" t="e">
        <f ca="1">AVERAGEIFS($BJ:$BJ,$BW:$BW,$BW15,$BX:$BX,$BX15)</f>
        <v>#DIV/0!</v>
      </c>
      <c r="EW15" s="1191">
        <v>1.3</v>
      </c>
      <c r="EX15" s="1191">
        <f ca="1">AVERAGEIF($BW:$BW,$BW15,$BP:$BP)</f>
        <v>0</v>
      </c>
      <c r="EY15" s="1218">
        <f ca="1">AVERAGEIFS($BP:$BP,$BW:$BW,$BW15,$BX:$BX,$BX15)</f>
        <v>0</v>
      </c>
      <c r="EZ15" s="1191">
        <v>1.3</v>
      </c>
      <c r="FA15" s="1191">
        <v>1.5</v>
      </c>
      <c r="FB15" s="1191">
        <f ca="1">AVERAGEIF($BW:$BW,$BW15,$BQ:$BQ)</f>
        <v>0</v>
      </c>
      <c r="FC15" s="1218">
        <f ca="1">AVERAGEIFS($BQ:$BQ,$BW:$BW,$BW15,$BX:$BX,$BX15)</f>
        <v>0</v>
      </c>
      <c r="FD15" s="1191">
        <v>1.3</v>
      </c>
      <c r="FE15" s="1191">
        <v>1.5</v>
      </c>
      <c r="FF15" s="1185">
        <f ca="1">AVERAGEIF($BW:$BW,$BW15,$AA:$AA)</f>
        <v>0</v>
      </c>
      <c r="FG15" s="1444">
        <f ca="1">AVERAGEIFS($AA:$AA,$BW:$BW,$BW15,$BX:$BX,$BX15)</f>
        <v>0</v>
      </c>
      <c r="FH15" s="1191">
        <v>0.7</v>
      </c>
      <c r="FL15" s="1181">
        <f>Datos!EZ15</f>
        <v>0</v>
      </c>
    </row>
    <row r="16" spans="1:16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214"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214"/>
      <c r="Z16" s="1214">
        <f>IF(ISNUMBER(Datos!BY16+Datos!BZ16*1.16),Datos!BY16+Datos!BZ16*1.16," - ")</f>
        <v>0</v>
      </c>
      <c r="AA16" s="1449">
        <f>IF(ISNUMBER((Z16*factor_trimestre)/DatosB!CN16),(Z16*factor_trimestre)/DatosB!CN16,"-")</f>
        <v>0</v>
      </c>
      <c r="AB16" s="1214" t="str">
        <f>IF(ISNUMBER(IF(D_I="SI",Datos!K16,Datos!K16+Datos!AE16)),IF(D_I="SI",Datos!K16,Datos!K16+Datos!AE16)," - ")</f>
        <v xml:space="preserve"> - </v>
      </c>
      <c r="AC16" s="1214" t="str">
        <f>IF(ISNUMBER(Datos!Q16),Datos!Q16," - ")</f>
        <v xml:space="preserve"> - </v>
      </c>
      <c r="AD16" s="1214"/>
      <c r="AE16" s="1214"/>
      <c r="AF16" s="1214" t="str">
        <f>IF(ISNUMBER(IF(D_I="SI",Datos!L16,Datos!L16+Datos!AF16)),IF(D_I="SI",Datos!L16,Datos!L16+Datos!AF16)," - ")</f>
        <v xml:space="preserve"> - </v>
      </c>
      <c r="AG16" s="1247"/>
      <c r="AH16" s="1214"/>
      <c r="AI16" s="1214"/>
      <c r="AJ16" s="1214"/>
      <c r="AK16" s="1247"/>
      <c r="AL16" s="1258"/>
      <c r="AM16" s="1214"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14" t="str">
        <f>IF(ISNUMBER(Datos!CL16),Datos!CL16," - ")</f>
        <v xml:space="preserve"> - </v>
      </c>
      <c r="AV16" s="1214" t="str">
        <f>IF(ISNUMBER(Datos!CM16),Datos!CM16," - ")</f>
        <v xml:space="preserve"> - </v>
      </c>
      <c r="AW16" s="1236" t="str">
        <f>IF(ISNUMBER(Datos!DV16),Datos!DV16," - ")</f>
        <v xml:space="preserve"> - </v>
      </c>
      <c r="AX16" s="1214"/>
      <c r="AY16" s="1214"/>
      <c r="AZ16" s="1214"/>
      <c r="BA16" s="1236"/>
      <c r="BB16" s="1216"/>
      <c r="BC16" s="1214" t="str">
        <f>IF(ISNUMBER(Datos!M16),Datos!M16," - ")</f>
        <v xml:space="preserve"> - </v>
      </c>
      <c r="BD16" s="1218" t="str">
        <f>IF(ISNUMBER(Datos!N16),Datos!N16," - ")</f>
        <v xml:space="preserve"> - </v>
      </c>
      <c r="BE16" s="1214" t="str">
        <f>IF(ISNUMBER(Datos!BW16),Datos!BW16," - ")</f>
        <v xml:space="preserve"> - </v>
      </c>
      <c r="BF16" s="1214" t="str">
        <f>IF(ISNUMBER(Datos!BX16),Datos!BX16," - ")</f>
        <v xml:space="preserve"> - </v>
      </c>
      <c r="BG16" s="1223" t="str">
        <f>IF(ISNUMBER(IF(D_I="SI",Datos!K16/Datos!J16,(Datos!K16+Datos!AE16)/(Datos!J16+Datos!AD16))),IF(D_I="SI",Datos!K16/Datos!J16,(Datos!K16+Datos!AE16)/(Datos!J16+Datos!AD16))," - ")</f>
        <v xml:space="preserve"> - </v>
      </c>
      <c r="BH16" s="1214"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44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14" t="str">
        <f>IF(ISNUMBER(Datos!EV16),Datos!EV16," - ")</f>
        <v xml:space="preserve"> - </v>
      </c>
      <c r="BQ16" s="1214" t="str">
        <f>IF(ISNUMBER(Datos!CW16),Datos!CW16," - ")</f>
        <v xml:space="preserve"> - </v>
      </c>
      <c r="BR16" s="1334"/>
      <c r="BS16" s="1334"/>
      <c r="BT16" s="1440">
        <f>--Datos!CX16</f>
        <v>0</v>
      </c>
      <c r="BU16" s="1259">
        <f>Datos!DU16</f>
        <v>0</v>
      </c>
      <c r="BV16" s="1424">
        <f>Datos!ER16/factor_trimestre</f>
        <v>900</v>
      </c>
      <c r="BW16" s="1358" t="str">
        <f>MID(Datos!EZ16,1,2)</f>
        <v/>
      </c>
      <c r="BX16" s="1358" t="str">
        <f>MID(Datos!EZ16,3,3)</f>
        <v/>
      </c>
      <c r="BY16" s="1185">
        <f ca="1">AVERAGEIF($BW:$BW,BW16,$I:$I)</f>
        <v>0</v>
      </c>
      <c r="BZ16" s="1185">
        <f ca="1">AVERAGEIFS($I:$I,$BW:$BW,BW16,$BX:$BX,BX16)</f>
        <v>0</v>
      </c>
      <c r="CA16" s="1191">
        <v>1.3</v>
      </c>
      <c r="CB16" s="1185">
        <f ca="1">AVERAGEIF($BW:$BW,$BW16,$Y:$Y)</f>
        <v>0</v>
      </c>
      <c r="CC16" s="1185">
        <f ca="1">AVERAGEIFS($Y:$Y,$BW:$BW,$BW16,$BX:$BX,$BX16)</f>
        <v>0</v>
      </c>
      <c r="CD16" s="1191">
        <v>1.3</v>
      </c>
      <c r="CE16" s="1191">
        <f ca="1">AVERAGEIF($BW:$BW,BW16,$AB:$AB)</f>
        <v>153.61638673997371</v>
      </c>
      <c r="CF16" s="1218">
        <f ca="1">AVERAGEIFS($AB:$AB,$BW:$BW,BW16,$BX:$BX,BX16)</f>
        <v>153.61638673997371</v>
      </c>
      <c r="CG16" s="1191">
        <v>0.7</v>
      </c>
      <c r="CH16" s="1191">
        <f ca="1">AVERAGEIF($BW:$BW,BW16,$AC:$AC)</f>
        <v>88.8</v>
      </c>
      <c r="CI16" s="1218">
        <f ca="1">AVERAGEIFS($AC:$AC,$BW:$BW,BW16,$BX:$BX,BX16)</f>
        <v>88.8</v>
      </c>
      <c r="CJ16" s="1191">
        <v>0.7</v>
      </c>
      <c r="CK16" s="1191">
        <f ca="1">AVERAGEIF($BW:$BW,$BW16,$AD:$AD)</f>
        <v>0</v>
      </c>
      <c r="CL16" s="1218">
        <f ca="1">AVERAGEIFS($AD:$AD,$BW:$BW,$BW16,$BX:$BX,$BX16)</f>
        <v>0</v>
      </c>
      <c r="CM16" s="1191">
        <v>0.7</v>
      </c>
      <c r="CN16" s="1191">
        <f ca="1">AVERAGEIF($BW:$BW,$BW16,$AE:$AE)</f>
        <v>0</v>
      </c>
      <c r="CO16" s="1218">
        <f ca="1">AVERAGEIFS($AE:$AE,$BW:$BW,$BW16,$BX:$BX,$BX16)</f>
        <v>0</v>
      </c>
      <c r="CP16" s="1191">
        <v>0.7</v>
      </c>
      <c r="CQ16" s="1191">
        <f ca="1">AVERAGEIF($BW:$BW,BW16,$AF:$AF)</f>
        <v>474.66666666666669</v>
      </c>
      <c r="CR16" s="1218">
        <f ca="1">AVERAGEIFS($AF:$AF,$BW:$BW,BW16,$BX:$BX,BX16)</f>
        <v>474.66666666666669</v>
      </c>
      <c r="CS16" s="1191">
        <v>1.3</v>
      </c>
      <c r="CT16" s="1191">
        <v>1.5</v>
      </c>
      <c r="CU16" s="1191">
        <f ca="1">AVERAGEIF($BW:$BW,$BW16,$AH:$AH)</f>
        <v>10.285714285714286</v>
      </c>
      <c r="CV16" s="1218">
        <f ca="1">AVERAGEIFS($AH:$AH,$BW:$BW,$BW16,$BX:$BX,$BX16)</f>
        <v>10.285714285714286</v>
      </c>
      <c r="CW16" s="1191">
        <v>1.3</v>
      </c>
      <c r="CX16" s="1191">
        <v>1.5</v>
      </c>
      <c r="CY16" s="1191">
        <f ca="1">AVERAGEIF($BW:$BW,$BW16,$AI:$AI)</f>
        <v>0</v>
      </c>
      <c r="CZ16" s="1218">
        <f ca="1">AVERAGEIFS($AI:$AI,$BW:$BW,$BW16,$BX:$BX,$BX16)</f>
        <v>0</v>
      </c>
      <c r="DA16" s="1191">
        <v>1.3</v>
      </c>
      <c r="DB16" s="1191">
        <v>1.5</v>
      </c>
      <c r="DC16" s="1191">
        <f ca="1">AVERAGEIF($BW:$BW,$BW16,$AJ:$AJ)</f>
        <v>0</v>
      </c>
      <c r="DD16" s="1218">
        <f ca="1">AVERAGEIFS($AJ:$AJ,$BW:$BW,$BW16,$BX:$BX,$BX16)</f>
        <v>0</v>
      </c>
      <c r="DE16" s="1191">
        <v>1.3</v>
      </c>
      <c r="DF16" s="1191">
        <v>1.5</v>
      </c>
      <c r="DG16" s="1191">
        <f ca="1">AVERAGEIF($BW:$BW,$BW16,$AM:$AM)</f>
        <v>872.1</v>
      </c>
      <c r="DH16" s="1218">
        <f ca="1">AVERAGEIFS($AM:$AM,$BW:$BW,$BW16,$BX:$BX,$BX16)</f>
        <v>872.1</v>
      </c>
      <c r="DI16" s="1191">
        <v>1.3</v>
      </c>
      <c r="DJ16" s="1191">
        <v>1.5</v>
      </c>
      <c r="DK16" s="1191">
        <v>1</v>
      </c>
      <c r="DL16" s="1191">
        <v>1</v>
      </c>
      <c r="DM16" s="1191">
        <v>25</v>
      </c>
      <c r="DN16" s="1191">
        <v>25</v>
      </c>
      <c r="DO16" s="1191">
        <v>1</v>
      </c>
      <c r="DP16" s="1191">
        <v>1</v>
      </c>
      <c r="DQ16" s="1191">
        <v>10</v>
      </c>
      <c r="DR16" s="1191">
        <v>10</v>
      </c>
      <c r="DS16" s="1191">
        <v>1</v>
      </c>
      <c r="DT16" s="1191">
        <v>1</v>
      </c>
      <c r="DU16" s="1191">
        <v>0</v>
      </c>
      <c r="DV16" s="1191">
        <v>0</v>
      </c>
      <c r="DW16" s="1191">
        <v>1</v>
      </c>
      <c r="DX16" s="1191">
        <v>1</v>
      </c>
      <c r="DY16" s="1191">
        <v>25</v>
      </c>
      <c r="DZ16" s="1191">
        <v>25</v>
      </c>
      <c r="EA16" s="1191">
        <v>1</v>
      </c>
      <c r="EB16" s="1191">
        <v>1</v>
      </c>
      <c r="EC16" s="1191">
        <v>10</v>
      </c>
      <c r="ED16" s="1191">
        <v>10</v>
      </c>
      <c r="EE16" s="1191">
        <v>1</v>
      </c>
      <c r="EF16" s="1191">
        <v>1</v>
      </c>
      <c r="EG16" s="1191">
        <v>0</v>
      </c>
      <c r="EH16" s="1191">
        <v>0</v>
      </c>
      <c r="EI16" s="1191">
        <f ca="1">AVERAGEIF($BW:$BW,$BW16,$BE:$BE)</f>
        <v>0</v>
      </c>
      <c r="EJ16" s="1218">
        <f ca="1">AVERAGEIFS($BE:$BE,$BW:$BW,$BW16,$BX:$BX,$BX16)</f>
        <v>0</v>
      </c>
      <c r="EK16" s="1191">
        <v>1.3</v>
      </c>
      <c r="EL16" s="1191">
        <v>1.5</v>
      </c>
      <c r="EM16" s="1191">
        <f ca="1">AVERAGEIF($BW:$BW,$BW16,$BF:$BF)</f>
        <v>0</v>
      </c>
      <c r="EN16" s="1218">
        <f ca="1">AVERAGEIFS($BF:$BF,$BW:$BW,$BW16,$BX:$BX,$BX16)</f>
        <v>0</v>
      </c>
      <c r="EO16" s="1191">
        <v>1.3</v>
      </c>
      <c r="EP16" s="1191">
        <v>1.5</v>
      </c>
      <c r="EQ16" s="1191">
        <f ca="1">AVERAGEIF($BW:$BW,$BW16,$BH:$BH)</f>
        <v>5.0619643263290968</v>
      </c>
      <c r="ER16" s="1218">
        <f ca="1">AVERAGEIFS($BH:$BH,$BW:$BW,$BW16,$BX:$BX,$BX16)</f>
        <v>5.0619643263290968</v>
      </c>
      <c r="ES16" s="1191">
        <v>1.3</v>
      </c>
      <c r="ET16" s="1191">
        <v>1.5</v>
      </c>
      <c r="EU16" s="1185" t="e">
        <f ca="1">AVERAGEIF($BW:$BW,$BW16,$BJ:$BJ)</f>
        <v>#DIV/0!</v>
      </c>
      <c r="EV16" s="1444" t="e">
        <f ca="1">AVERAGEIFS($BJ:$BJ,$BW:$BW,$BW16,$BX:$BX,$BX16)</f>
        <v>#DIV/0!</v>
      </c>
      <c r="EW16" s="1191">
        <v>1.3</v>
      </c>
      <c r="EX16" s="1191">
        <f ca="1">AVERAGEIF($BW:$BW,$BW16,$BP:$BP)</f>
        <v>0</v>
      </c>
      <c r="EY16" s="1218">
        <f ca="1">AVERAGEIFS($BP:$BP,$BW:$BW,$BW16,$BX:$BX,$BX16)</f>
        <v>0</v>
      </c>
      <c r="EZ16" s="1191">
        <v>1.3</v>
      </c>
      <c r="FA16" s="1191">
        <v>1.5</v>
      </c>
      <c r="FB16" s="1191">
        <f ca="1">AVERAGEIF($BW:$BW,$BW16,$BQ:$BQ)</f>
        <v>0</v>
      </c>
      <c r="FC16" s="1218">
        <f ca="1">AVERAGEIFS($BQ:$BQ,$BW:$BW,$BW16,$BX:$BX,$BX16)</f>
        <v>0</v>
      </c>
      <c r="FD16" s="1191">
        <v>1.3</v>
      </c>
      <c r="FE16" s="1191">
        <v>1.5</v>
      </c>
      <c r="FF16" s="1185">
        <f ca="1">AVERAGEIF($BW:$BW,$BW16,$AA:$AA)</f>
        <v>0</v>
      </c>
      <c r="FG16" s="1444">
        <f ca="1">AVERAGEIFS($AA:$AA,$BW:$BW,$BW16,$BX:$BX,$BX16)</f>
        <v>0</v>
      </c>
      <c r="FH16" s="1191">
        <v>0.7</v>
      </c>
      <c r="FL16" s="1421">
        <f>Datos!EZ16</f>
        <v>0</v>
      </c>
    </row>
    <row r="17" spans="1:168" s="597" customFormat="1" ht="14.25">
      <c r="A17" s="592">
        <f>Datos!AO17</f>
        <v>3</v>
      </c>
      <c r="B17" s="593" t="s">
        <v>397</v>
      </c>
      <c r="C17" s="598" t="str">
        <f>Datos!A17</f>
        <v xml:space="preserve">Sección Civil y de Inst. TI                      </v>
      </c>
      <c r="D17" s="599"/>
      <c r="E17" s="1160">
        <f>IF(ISNUMBER(Datos!AQ17),Datos!AQ17," - ")</f>
        <v>3</v>
      </c>
      <c r="F17" s="594">
        <f>IF(ISNUMBER(AF17+AB17-Datos!J17-L17),AF17+AB17-Datos!J17-L17," - ")</f>
        <v>1541</v>
      </c>
      <c r="G17" s="596">
        <f>IF(ISNUMBER(IF(D_I="SI",Datos!I17,Datos!I17+Datos!AC17)),IF(D_I="SI",Datos!I17,Datos!I17+Datos!AC17)," - ")</f>
        <v>1383</v>
      </c>
      <c r="H17" s="600"/>
      <c r="I17" s="224" t="str">
        <f>IF(ISNUMBER(Datos!DC17),Datos!DC17," - ")</f>
        <v xml:space="preserve"> - </v>
      </c>
      <c r="J17" s="225" t="str">
        <f>IF(ISNUMBER(Datos!DC17),Datos!DC17," - ")</f>
        <v xml:space="preserve"> - </v>
      </c>
      <c r="K17" s="610"/>
      <c r="L17" s="600">
        <f>IF(ISNUMBER(Datos!DF17),Datos!DF17,0)</f>
        <v>0</v>
      </c>
      <c r="M17" s="225">
        <f>IF(ISNUMBER(Datos!DM17),Datos!DM17,0)</f>
        <v>0</v>
      </c>
      <c r="N17" s="333"/>
      <c r="O17" s="610"/>
      <c r="P17" s="610"/>
      <c r="Q17" s="225">
        <f>IF(ISNUMBER(Datos!P17),Datos!P17,0)</f>
        <v>7</v>
      </c>
      <c r="R17" s="225" t="str">
        <f>IF(ISNUMBER(Datos!DE17),Datos!DE17," - ")</f>
        <v xml:space="preserve"> - </v>
      </c>
      <c r="S17" s="618"/>
      <c r="T17" s="618"/>
      <c r="U17" s="225" t="str">
        <f>IF(ISNUMBER(Datos!AS17/1),Datos!AS17/1," - ")</f>
        <v xml:space="preserve"> - </v>
      </c>
      <c r="V17" s="336" t="str">
        <f>IF(ISNUMBER(U17/(Datos!BM17/factor_trimestre)),U17/(Datos!BM17/factor_trimestre)," - ")</f>
        <v xml:space="preserve"> - </v>
      </c>
      <c r="W17" s="225" t="str">
        <f>IF(ISNUMBER(Datos!EO17),Datos!EO17," - ")</f>
        <v xml:space="preserve"> - </v>
      </c>
      <c r="X17" s="986" t="e">
        <f>(W17/Datos!ER17)*factor_trimestre</f>
        <v>#VALUE!</v>
      </c>
      <c r="Y17" s="224"/>
      <c r="Z17" s="224" t="str">
        <f>IF(ISNUMBER(Datos!BY17),Datos!BY17," - ")</f>
        <v xml:space="preserve"> - </v>
      </c>
      <c r="AA17" s="1449" t="str">
        <f>IF(ISNUMBER((Z17*factor_trimestre)/DatosB!CN17),(Z17*factor_trimestre)/DatosB!CN17,"-")</f>
        <v>-</v>
      </c>
      <c r="AB17" s="224">
        <f>IF(ISNUMBER(IF(D_I="SI",Datos!K17,Datos!K17+Datos!AE17)),IF(D_I="SI",Datos!K17,Datos!K17+Datos!AE17)," - ")</f>
        <v>433</v>
      </c>
      <c r="AC17" s="224">
        <f>IF(ISNUMBER(Datos!Q17),Datos!Q17," - ")</f>
        <v>17</v>
      </c>
      <c r="AD17" s="224"/>
      <c r="AE17" s="224"/>
      <c r="AF17" s="224">
        <f>IF(ISNUMBER(IF(D_I="SI",Datos!L17,Datos!L17+Datos!AF17)),IF(D_I="SI",Datos!L17,Datos!L17+Datos!AF17)," - ")</f>
        <v>1411</v>
      </c>
      <c r="AG17" s="333"/>
      <c r="AH17" s="224"/>
      <c r="AI17" s="224"/>
      <c r="AJ17" s="1214"/>
      <c r="AK17" s="333"/>
      <c r="AL17" s="478"/>
      <c r="AM17" s="1214">
        <f>IF(ISNUMBER(Datos!R17),Datos!R17," - ")</f>
        <v>51</v>
      </c>
      <c r="AN17" s="333"/>
      <c r="AO17" s="333"/>
      <c r="AP17" s="333"/>
      <c r="AQ17" s="333"/>
      <c r="AR17" s="333"/>
      <c r="AS17" s="333" t="str">
        <f>IF(ISNUMBER(Datos!BV17),Datos!BV17," - ")</f>
        <v xml:space="preserve"> - </v>
      </c>
      <c r="AT17" s="1214" t="str">
        <f>IF(ISNUMBER(Datos!CK17),Datos!CK17," - ")</f>
        <v xml:space="preserve"> - </v>
      </c>
      <c r="AU17" s="1214" t="str">
        <f>IF(ISNUMBER(Datos!CL17),Datos!CL17," - ")</f>
        <v xml:space="preserve"> - </v>
      </c>
      <c r="AV17" s="1214" t="str">
        <f>IF(ISNUMBER(Datos!CM17),Datos!CM17," - ")</f>
        <v xml:space="preserve"> - </v>
      </c>
      <c r="AW17" s="1236" t="str">
        <f>IF(ISNUMBER(Datos!DV17),Datos!DV17," - ")</f>
        <v xml:space="preserve"> - </v>
      </c>
      <c r="AX17" s="1214"/>
      <c r="AY17" s="1214"/>
      <c r="AZ17" s="1214"/>
      <c r="BA17" s="297"/>
      <c r="BB17" s="226"/>
      <c r="BC17" s="224">
        <f>IF(ISNUMBER(Datos!M17),Datos!M17," - ")</f>
        <v>90</v>
      </c>
      <c r="BD17" s="228">
        <f>IF(ISNUMBER(Datos!N17),Datos!N17," - ")</f>
        <v>262</v>
      </c>
      <c r="BE17" s="1214" t="str">
        <f>IF(ISNUMBER(Datos!BW17),Datos!BW17," - ")</f>
        <v xml:space="preserve"> - </v>
      </c>
      <c r="BF17" s="1214" t="str">
        <f>IF(ISNUMBER(Datos!BX17),Datos!BX17," - ")</f>
        <v xml:space="preserve"> - </v>
      </c>
      <c r="BG17" s="242">
        <f>IF(ISNUMBER(IF(D_I="SI",Datos!K17/Datos!J17,(Datos!K17+Datos!AE17)/(Datos!J17+Datos!AD17))),IF(D_I="SI",Datos!K17/Datos!J17,(Datos!K17+Datos!AE17)/(Datos!J17+Datos!AD17))," - ")</f>
        <v>1.4290429042904291</v>
      </c>
      <c r="BH17" s="1214">
        <f>IF(ISNUMBER(((IF(D_I="SI",Datos!L17/Datos!K17,(Datos!L17+Datos!AF17)/(Datos!K17+Datos!AE17)))*11)/factor_trimestre),((IF(D_I="SI",Datos!L17/Datos!K17,(Datos!L17+Datos!AF17)/(Datos!K17+Datos!AE17)))*11)/factor_trimestre," - ")</f>
        <v>9.7759815242494223</v>
      </c>
      <c r="BI17" s="242">
        <f>IF(ISNUMBER('Resol  Asuntos'!D17/NºAsuntos!G17),'Resol  Asuntos'!D17/NºAsuntos!G17," - ")</f>
        <v>0.20785219399538107</v>
      </c>
      <c r="BJ17" s="1449" t="str">
        <f>IF(ISNUMBER(Datos!CI17/Datos!CJ17),Datos!CI17/Datos!CJ17," - ")</f>
        <v xml:space="preserve"> - </v>
      </c>
      <c r="BK17" s="359"/>
      <c r="BL17" s="229" t="str">
        <f>IF(ISNUMBER((J17-AB17+L17)/(F17)),(J17-AB17+L17)/(F17)," - ")</f>
        <v xml:space="preserve"> - </v>
      </c>
      <c r="BM17" s="303" t="str">
        <f>IF(ISNUMBER((Datos!P17-Datos!Q17+R17)/(Datos!R17-Datos!P17+Datos!Q17-R17)),(Datos!P17-Datos!Q17+R17)/(Datos!R17-Datos!P17+Datos!Q17-R17)," - ")</f>
        <v xml:space="preserve"> - </v>
      </c>
      <c r="BN17" s="629" t="str">
        <f>IF(ISNUMBER(Datos!CS17),Datos!CS17," - ")</f>
        <v xml:space="preserve"> - </v>
      </c>
      <c r="BO17" s="629" t="str">
        <f>IF(ISNUMBER(Datos!EI17),Datos!EI17," - ")</f>
        <v xml:space="preserve"> - </v>
      </c>
      <c r="BP17" s="1214" t="str">
        <f>IF(ISNUMBER(Datos!EV17),Datos!EV17," - ")</f>
        <v xml:space="preserve"> - </v>
      </c>
      <c r="BQ17" s="1214" t="str">
        <f>IF(ISNUMBER(Datos!CW17),Datos!CW17," - ")</f>
        <v xml:space="preserve"> - </v>
      </c>
      <c r="BR17" s="595"/>
      <c r="BS17" s="595"/>
      <c r="BT17" s="1440">
        <f>--Datos!CX17</f>
        <v>0</v>
      </c>
      <c r="BU17" s="479">
        <f>Datos!DU17</f>
        <v>0</v>
      </c>
      <c r="BV17" s="1102">
        <f>Datos!ER17/factor_trimestre</f>
        <v>272.72727272727275</v>
      </c>
      <c r="BW17" s="635" t="str">
        <f>MID(Datos!EZ17,1,2)</f>
        <v/>
      </c>
      <c r="BX17" s="635" t="str">
        <f>MID(Datos!EZ17,3,3)</f>
        <v/>
      </c>
      <c r="BY17" s="1185">
        <f ca="1">AVERAGEIF($BW:$BW,BW17,$I:$I)</f>
        <v>0</v>
      </c>
      <c r="BZ17" s="1185">
        <f ca="1">AVERAGEIFS($I:$I,$BW:$BW,BW17,$BX:$BX,BX17)</f>
        <v>0</v>
      </c>
      <c r="CA17" s="1191">
        <v>1.3</v>
      </c>
      <c r="CB17" s="1185">
        <f ca="1">AVERAGEIF($BW:$BW,$BW17,$Y:$Y)</f>
        <v>0</v>
      </c>
      <c r="CC17" s="1185">
        <f ca="1">AVERAGEIFS($Y:$Y,$BW:$BW,$BW17,$BX:$BX,$BX17)</f>
        <v>0</v>
      </c>
      <c r="CD17" s="1191">
        <v>1.3</v>
      </c>
      <c r="CE17" s="1191">
        <f ca="1">AVERAGEIF($BW:$BW,BW17,$AB:$AB)</f>
        <v>153.61638673997371</v>
      </c>
      <c r="CF17" s="228">
        <f ca="1">AVERAGEIFS($AB:$AB,$BW:$BW,BW17,$BX:$BX,BX17)</f>
        <v>153.61638673997371</v>
      </c>
      <c r="CG17" s="1191">
        <v>0.7</v>
      </c>
      <c r="CH17" s="1191">
        <f ca="1">AVERAGEIF($BW:$BW,BW17,$AC:$AC)</f>
        <v>88.8</v>
      </c>
      <c r="CI17" s="228">
        <f ca="1">AVERAGEIFS($AC:$AC,$BW:$BW,BW17,$BX:$BX,BX17)</f>
        <v>88.8</v>
      </c>
      <c r="CJ17" s="1191">
        <v>0.7</v>
      </c>
      <c r="CK17" s="1191">
        <f ca="1">AVERAGEIF($BW:$BW,$BW17,$AD:$AD)</f>
        <v>0</v>
      </c>
      <c r="CL17" s="228">
        <f ca="1">AVERAGEIFS($AD:$AD,$BW:$BW,$BW17,$BX:$BX,$BX17)</f>
        <v>0</v>
      </c>
      <c r="CM17" s="1191">
        <v>0.7</v>
      </c>
      <c r="CN17" s="1191">
        <f ca="1">AVERAGEIF($BW:$BW,$BW17,$AE:$AE)</f>
        <v>0</v>
      </c>
      <c r="CO17" s="228">
        <f ca="1">AVERAGEIFS($AE:$AE,$BW:$BW,$BW17,$BX:$BX,$BX17)</f>
        <v>0</v>
      </c>
      <c r="CP17" s="1191">
        <v>0.7</v>
      </c>
      <c r="CQ17" s="1191">
        <f ca="1">AVERAGEIF($BW:$BW,BW17,$AF:$AF)</f>
        <v>474.66666666666669</v>
      </c>
      <c r="CR17" s="228">
        <f ca="1">AVERAGEIFS($AF:$AF,$BW:$BW,BW17,$BX:$BX,BX17)</f>
        <v>474.66666666666669</v>
      </c>
      <c r="CS17" s="1191">
        <v>1.3</v>
      </c>
      <c r="CT17" s="1191">
        <v>1.5</v>
      </c>
      <c r="CU17" s="1191">
        <f ca="1">AVERAGEIF($BW:$BW,$BW17,$AH:$AH)</f>
        <v>10.285714285714286</v>
      </c>
      <c r="CV17" s="228">
        <f ca="1">AVERAGEIFS($AH:$AH,$BW:$BW,$BW17,$BX:$BX,$BX17)</f>
        <v>10.285714285714286</v>
      </c>
      <c r="CW17" s="1191">
        <v>1.3</v>
      </c>
      <c r="CX17" s="1191">
        <v>1.5</v>
      </c>
      <c r="CY17" s="1191">
        <f ca="1">AVERAGEIF($BW:$BW,$BW17,$AI:$AI)</f>
        <v>0</v>
      </c>
      <c r="CZ17" s="228">
        <f ca="1">AVERAGEIFS($AI:$AI,$BW:$BW,$BW17,$BX:$BX,$BX17)</f>
        <v>0</v>
      </c>
      <c r="DA17" s="1191">
        <v>1.3</v>
      </c>
      <c r="DB17" s="1191">
        <v>1.5</v>
      </c>
      <c r="DC17" s="1191">
        <f ca="1">AVERAGEIF($BW:$BW,$BW17,$AJ:$AJ)</f>
        <v>0</v>
      </c>
      <c r="DD17" s="1218">
        <f ca="1">AVERAGEIFS($AJ:$AJ,$BW:$BW,$BW17,$BX:$BX,$BX17)</f>
        <v>0</v>
      </c>
      <c r="DE17" s="1191">
        <v>1.3</v>
      </c>
      <c r="DF17" s="1191">
        <v>1.5</v>
      </c>
      <c r="DG17" s="1191">
        <f ca="1">AVERAGEIF($BW:$BW,$BW17,$AM:$AM)</f>
        <v>872.1</v>
      </c>
      <c r="DH17" s="1218">
        <f ca="1">AVERAGEIFS($AM:$AM,$BW:$BW,$BW17,$BX:$BX,$BX17)</f>
        <v>872.1</v>
      </c>
      <c r="DI17" s="1191">
        <v>1.3</v>
      </c>
      <c r="DJ17" s="1191">
        <v>1.5</v>
      </c>
      <c r="DK17" s="1191">
        <v>1</v>
      </c>
      <c r="DL17" s="1191">
        <v>1</v>
      </c>
      <c r="DM17" s="1191">
        <v>25</v>
      </c>
      <c r="DN17" s="1191">
        <v>25</v>
      </c>
      <c r="DO17" s="1191">
        <v>1</v>
      </c>
      <c r="DP17" s="1191">
        <v>1</v>
      </c>
      <c r="DQ17" s="1191">
        <v>10</v>
      </c>
      <c r="DR17" s="1191">
        <v>10</v>
      </c>
      <c r="DS17" s="1191">
        <v>1</v>
      </c>
      <c r="DT17" s="1191">
        <v>1</v>
      </c>
      <c r="DU17" s="1191">
        <v>0</v>
      </c>
      <c r="DV17" s="1191">
        <v>0</v>
      </c>
      <c r="DW17" s="1191">
        <v>1</v>
      </c>
      <c r="DX17" s="1191">
        <v>1</v>
      </c>
      <c r="DY17" s="1191">
        <v>25</v>
      </c>
      <c r="DZ17" s="1191">
        <v>25</v>
      </c>
      <c r="EA17" s="1191">
        <v>1</v>
      </c>
      <c r="EB17" s="1191">
        <v>1</v>
      </c>
      <c r="EC17" s="1191">
        <v>10</v>
      </c>
      <c r="ED17" s="1191">
        <v>10</v>
      </c>
      <c r="EE17" s="1191">
        <v>1</v>
      </c>
      <c r="EF17" s="1191">
        <v>1</v>
      </c>
      <c r="EG17" s="1191">
        <v>0</v>
      </c>
      <c r="EH17" s="1191">
        <v>0</v>
      </c>
      <c r="EI17" s="1191">
        <f ca="1">AVERAGEIF($BW:$BW,$BW17,$BE:$BE)</f>
        <v>0</v>
      </c>
      <c r="EJ17" s="1218">
        <f ca="1">AVERAGEIFS($BE:$BE,$BW:$BW,$BW17,$BX:$BX,$BX17)</f>
        <v>0</v>
      </c>
      <c r="EK17" s="1191">
        <v>1.3</v>
      </c>
      <c r="EL17" s="1191">
        <v>1.5</v>
      </c>
      <c r="EM17" s="1191">
        <f ca="1">AVERAGEIF($BW:$BW,$BW17,$BF:$BF)</f>
        <v>0</v>
      </c>
      <c r="EN17" s="1218">
        <f ca="1">AVERAGEIFS($BF:$BF,$BW:$BW,$BW17,$BX:$BX,$BX17)</f>
        <v>0</v>
      </c>
      <c r="EO17" s="1191">
        <v>1.3</v>
      </c>
      <c r="EP17" s="1191">
        <v>1.5</v>
      </c>
      <c r="EQ17" s="1191">
        <f ca="1">AVERAGEIF($BW:$BW,$BW17,$BH:$BH)</f>
        <v>5.0619643263290968</v>
      </c>
      <c r="ER17" s="1218">
        <f ca="1">AVERAGEIFS($BH:$BH,$BW:$BW,$BW17,$BX:$BX,$BX17)</f>
        <v>5.0619643263290968</v>
      </c>
      <c r="ES17" s="1191">
        <v>1.3</v>
      </c>
      <c r="ET17" s="1191">
        <v>1.5</v>
      </c>
      <c r="EU17" s="1185" t="e">
        <f ca="1">AVERAGEIF($BW:$BW,$BW17,$BJ:$BJ)</f>
        <v>#DIV/0!</v>
      </c>
      <c r="EV17" s="1444" t="e">
        <f ca="1">AVERAGEIFS($BJ:$BJ,$BW:$BW,$BW17,$BX:$BX,$BX17)</f>
        <v>#DIV/0!</v>
      </c>
      <c r="EW17" s="1191">
        <v>1.3</v>
      </c>
      <c r="EX17" s="1191">
        <f ca="1">AVERAGEIF($BW:$BW,$BW17,$BP:$BP)</f>
        <v>0</v>
      </c>
      <c r="EY17" s="1218">
        <f ca="1">AVERAGEIFS($BP:$BP,$BW:$BW,$BW17,$BX:$BX,$BX17)</f>
        <v>0</v>
      </c>
      <c r="EZ17" s="1191">
        <v>1.3</v>
      </c>
      <c r="FA17" s="1191">
        <v>1.5</v>
      </c>
      <c r="FB17" s="1191">
        <f ca="1">AVERAGEIF($BW:$BW,$BW17,$BQ:$BQ)</f>
        <v>0</v>
      </c>
      <c r="FC17" s="1218">
        <f ca="1">AVERAGEIFS($BQ:$BQ,$BW:$BW,$BW17,$BX:$BX,$BX17)</f>
        <v>0</v>
      </c>
      <c r="FD17" s="1191">
        <v>1.3</v>
      </c>
      <c r="FE17" s="1191">
        <v>1.5</v>
      </c>
      <c r="FF17" s="1185">
        <f ca="1">AVERAGEIF($BW:$BW,$BW17,$AA:$AA)</f>
        <v>0</v>
      </c>
      <c r="FG17" s="1444">
        <f ca="1">AVERAGEIFS($AA:$AA,$BW:$BW,$BW17,$BX:$BX,$BX17)</f>
        <v>0</v>
      </c>
      <c r="FH17" s="1191">
        <v>0.7</v>
      </c>
      <c r="FL17" s="1181">
        <f>Datos!EZ17</f>
        <v>0</v>
      </c>
    </row>
    <row r="18" spans="1:168" ht="15" thickBot="1">
      <c r="A18" s="500">
        <f>Datos!AO18</f>
        <v>1</v>
      </c>
      <c r="B18" s="506" t="s">
        <v>397</v>
      </c>
      <c r="C18" s="7" t="str">
        <f>Datos!A18</f>
        <v>Sección De Violencia sobre la Mujer del TI</v>
      </c>
      <c r="D18" s="507"/>
      <c r="E18" s="1020">
        <f>IF(ISNUMBER(Datos!AQ18),Datos!AQ18," - ")</f>
        <v>0</v>
      </c>
      <c r="F18" s="224" t="str">
        <f>IF(ISNUMBER(AF18+AB18-I18-L18),AF18+AB18-I18-L18," - ")</f>
        <v xml:space="preserve"> - </v>
      </c>
      <c r="G18" s="332">
        <f>IF(ISNUMBER(IF(D_I="SI",Datos!I18,Datos!I18+Datos!AC18)),IF(D_I="SI",Datos!I18,Datos!I18+Datos!AC18)," - ")</f>
        <v>13</v>
      </c>
      <c r="H18" s="225"/>
      <c r="I18" s="224" t="str">
        <f>IF(ISNUMBER(Datos!DB18),Datos!DB18," - ")</f>
        <v xml:space="preserve"> - </v>
      </c>
      <c r="J18" s="225" t="str">
        <f>IF(ISNUMBER(Datos!DC18),Datos!DC18," - ")</f>
        <v xml:space="preserve"> - </v>
      </c>
      <c r="K18" s="333"/>
      <c r="L18" s="225">
        <f>IF(ISNUMBER(Datos!DF18),Datos!DF18,0)</f>
        <v>0</v>
      </c>
      <c r="M18" s="225">
        <f>IF(ISNUMBER(Datos!DM18),Datos!DM18,0)</f>
        <v>0</v>
      </c>
      <c r="N18" s="333"/>
      <c r="O18" s="333" t="str">
        <f>IF(ISNUMBER(Datos!EB18),Datos!EB18," - ")</f>
        <v xml:space="preserve"> - </v>
      </c>
      <c r="P18" s="333" t="str">
        <f>IF(ISNUMBER(Datos!EC18),Datos!EC18," - ")</f>
        <v xml:space="preserve"> - </v>
      </c>
      <c r="Q18" s="225">
        <f>IF(ISNUMBER(Datos!P18),Datos!P18,0)</f>
        <v>0</v>
      </c>
      <c r="R18" s="225" t="str">
        <f>IF(ISNUMBER(Datos!DE18),Datos!DE18," - ")</f>
        <v xml:space="preserve"> - </v>
      </c>
      <c r="S18" s="347" t="str">
        <f>IF(ISNUMBER(Datos!EB18*factor_trimestre/Datos!EE18),Datos!EB18*factor_trimestre/Datos!EE18," - ")</f>
        <v xml:space="preserve"> - </v>
      </c>
      <c r="T18" s="347" t="str">
        <f>IF(ISNUMBER(Datos!EC18*factor_trimestre/Datos!EF18),Datos!EC18*factor_trimestre/Datos!EF18," - ")</f>
        <v xml:space="preserve"> - </v>
      </c>
      <c r="U18" s="225" t="str">
        <f>IF(ISNUMBER((Datos!AS18+Datos!AT18)),(Datos!AS18+Datos!AT18)," - ")</f>
        <v xml:space="preserve"> - </v>
      </c>
      <c r="V18" s="480" t="str">
        <f>IF(ISNUMBER(U18/(Datos!BM18/factor_trimestre)),U18/(Datos!BM18/factor_trimestre)," - ")</f>
        <v xml:space="preserve"> - </v>
      </c>
      <c r="W18" s="225" t="str">
        <f>IF(ISNUMBER(Datos!EO18),Datos!EO18," - ")</f>
        <v xml:space="preserve"> - </v>
      </c>
      <c r="X18" s="986" t="e">
        <f>(W18/Datos!ER18)*factor_trimestre</f>
        <v>#VALUE!</v>
      </c>
      <c r="Y18" s="224"/>
      <c r="Z18" s="224" t="str">
        <f>IF(ISNUMBER(Datos!BY18+Datos!BZ18),Datos!BY18+Datos!BZ18," - ")</f>
        <v xml:space="preserve"> - </v>
      </c>
      <c r="AA18" s="1449" t="str">
        <f>IF(ISNUMBER((Z18*factor_trimestre)/DatosB!CN18),(Z18*factor_trimestre)/DatosB!CN18,"-")</f>
        <v>-</v>
      </c>
      <c r="AB18" s="224">
        <f>IF(ISNUMBER(IF(D_I="SI",Datos!K18,Datos!K18+Datos!AE18)),IF(D_I="SI",Datos!K18,Datos!K18+Datos!AE18)," - ")</f>
        <v>0</v>
      </c>
      <c r="AC18" s="224">
        <f>IF(ISNUMBER(Datos!Q18),Datos!Q18," - ")</f>
        <v>0</v>
      </c>
      <c r="AD18" s="224"/>
      <c r="AE18" s="224"/>
      <c r="AF18" s="224">
        <f>IF(ISNUMBER(Datos!L18),Datos!L18,"-")</f>
        <v>13</v>
      </c>
      <c r="AG18" s="333"/>
      <c r="AH18" s="224"/>
      <c r="AI18" s="224"/>
      <c r="AJ18" s="1214"/>
      <c r="AK18" s="333"/>
      <c r="AL18" s="478"/>
      <c r="AM18" s="1214">
        <f>IF(ISNUMBER(Datos!R18),Datos!R18," - ")</f>
        <v>4</v>
      </c>
      <c r="AN18" s="333"/>
      <c r="AO18" s="333"/>
      <c r="AP18" s="333"/>
      <c r="AQ18" s="333"/>
      <c r="AR18" s="333"/>
      <c r="AS18" s="333" t="str">
        <f>IF(ISNUMBER(Datos!BV18),Datos!BV18," - ")</f>
        <v xml:space="preserve"> - </v>
      </c>
      <c r="AT18" s="1214" t="str">
        <f>IF(ISNUMBER(Datos!CK18),Datos!CK18," - ")</f>
        <v xml:space="preserve"> - </v>
      </c>
      <c r="AU18" s="1214" t="str">
        <f>IF(ISNUMBER(Datos!CL18),Datos!CL18," - ")</f>
        <v xml:space="preserve"> - </v>
      </c>
      <c r="AV18" s="1214" t="str">
        <f>IF(ISNUMBER(Datos!CM18),Datos!CM18," - ")</f>
        <v xml:space="preserve"> - </v>
      </c>
      <c r="AW18" s="1236" t="str">
        <f>IF(ISNUMBER(Datos!DV18),Datos!DV18," - ")</f>
        <v xml:space="preserve"> - </v>
      </c>
      <c r="AX18" s="1214"/>
      <c r="AY18" s="1214"/>
      <c r="AZ18" s="1214"/>
      <c r="BA18" s="297"/>
      <c r="BB18" s="226"/>
      <c r="BC18" s="224">
        <f>IF(ISNUMBER(Datos!M18),Datos!M18," - ")</f>
        <v>0</v>
      </c>
      <c r="BD18" s="228">
        <f>IF(ISNUMBER(Datos!N18),Datos!N18," - ")</f>
        <v>0</v>
      </c>
      <c r="BE18" s="1214" t="str">
        <f>IF(ISNUMBER(Datos!BW18),Datos!BW18," - ")</f>
        <v xml:space="preserve"> - </v>
      </c>
      <c r="BF18" s="1214" t="str">
        <f>IF(ISNUMBER(Datos!BX18),Datos!BX18," - ")</f>
        <v xml:space="preserve"> - </v>
      </c>
      <c r="BG18" s="242" t="str">
        <f>IF(ISNUMBER(IF(D_I="SI",Datos!K18/Datos!J18,(Datos!K18+Datos!AE18)/(Datos!J18+Datos!AD18))),IF(D_I="SI",Datos!K18/Datos!J18,(Datos!K18+Datos!AE18)/(Datos!J18+Datos!AD18))," - ")</f>
        <v xml:space="preserve"> - </v>
      </c>
      <c r="BH18" s="1214" t="str">
        <f>IF(ISNUMBER(((IF(D_I="SI",Datos!L18/Datos!K18,(Datos!L18+Datos!AF18)/(Datos!K18+Datos!AE18)))*11)/factor_trimestre),((IF(D_I="SI",Datos!L18/Datos!K18,(Datos!L18+Datos!AF18)/(Datos!K18+Datos!AE18)))*11)/factor_trimestre," - ")</f>
        <v xml:space="preserve"> - </v>
      </c>
      <c r="BI18" s="242" t="str">
        <f>IF(ISNUMBER('Resol  Asuntos'!D18/NºAsuntos!G18),'Resol  Asuntos'!D18/NºAsuntos!G18," - ")</f>
        <v xml:space="preserve"> - </v>
      </c>
      <c r="BJ18" s="1449" t="str">
        <f>IF(ISNUMBER(Datos!CI18/Datos!CJ18),Datos!CI18/Datos!CJ18," - ")</f>
        <v xml:space="preserve"> - </v>
      </c>
      <c r="BK18" s="359"/>
      <c r="BL18" s="229" t="str">
        <f>IF(ISNUMBER((I18-AB18+L18)/(F18)),(I18-AB18+L18)/(F18)," - ")</f>
        <v xml:space="preserve"> - </v>
      </c>
      <c r="BM18" s="609" t="str">
        <f>IF(ISNUMBER((Datos!P18-Datos!Q18+R18)/(Datos!R18-Datos!P18+Datos!Q18-R18)),(Datos!P18-Datos!Q18+R18)/(Datos!R18-Datos!P18+Datos!Q18-R18)," - ")</f>
        <v xml:space="preserve"> - </v>
      </c>
      <c r="BN18" s="630" t="str">
        <f>IF(ISNUMBER(Datos!CS18),Datos!CS18," - ")</f>
        <v xml:space="preserve"> - </v>
      </c>
      <c r="BO18" s="630" t="str">
        <f>IF(ISNUMBER(Datos!EI18),Datos!EI18," - ")</f>
        <v xml:space="preserve"> - </v>
      </c>
      <c r="BP18" s="1214" t="str">
        <f>IF(ISNUMBER(Datos!EV18),Datos!EV18," - ")</f>
        <v xml:space="preserve"> - </v>
      </c>
      <c r="BQ18" s="1214" t="str">
        <f>IF(ISNUMBER(Datos!CW18),Datos!CW18," - ")</f>
        <v xml:space="preserve"> - </v>
      </c>
      <c r="BR18" s="265"/>
      <c r="BS18" s="265"/>
      <c r="BT18" s="1440">
        <f>--Datos!CX18</f>
        <v>0</v>
      </c>
      <c r="BU18" s="479">
        <f>Datos!DU18</f>
        <v>0</v>
      </c>
      <c r="BV18" s="1102">
        <f>Datos!ER18/factor_trimestre</f>
        <v>436.36363636363637</v>
      </c>
      <c r="BW18" s="228" t="str">
        <f>MID(Datos!EZ18,1,2)</f>
        <v/>
      </c>
      <c r="BX18" s="228" t="str">
        <f>MID(Datos!EZ18,3,3)</f>
        <v/>
      </c>
      <c r="BY18" s="1185">
        <f ca="1">AVERAGEIF($BW:$BW,BW18,$I:$I)</f>
        <v>0</v>
      </c>
      <c r="BZ18" s="1185">
        <f ca="1">AVERAGEIFS($I:$I,$BW:$BW,BW18,$BX:$BX,BX18)</f>
        <v>0</v>
      </c>
      <c r="CA18" s="1191">
        <v>1.3</v>
      </c>
      <c r="CB18" s="1185">
        <f ca="1">AVERAGEIF($BW:$BW,$BW18,$Y:$Y)</f>
        <v>0</v>
      </c>
      <c r="CC18" s="1185">
        <f ca="1">AVERAGEIFS($Y:$Y,$BW:$BW,$BW18,$BX:$BX,$BX18)</f>
        <v>0</v>
      </c>
      <c r="CD18" s="1191">
        <v>1.3</v>
      </c>
      <c r="CE18" s="1191">
        <f ca="1">AVERAGEIF($BW:$BW,BW18,$AB:$AB)</f>
        <v>153.61638673997371</v>
      </c>
      <c r="CF18" s="228">
        <f ca="1">AVERAGEIFS($AB:$AB,$BW:$BW,BW18,$BX:$BX,BX18)</f>
        <v>153.61638673997371</v>
      </c>
      <c r="CG18" s="1191">
        <v>0.7</v>
      </c>
      <c r="CH18" s="1191">
        <f ca="1">AVERAGEIF($BW:$BW,BW18,$AC:$AC)</f>
        <v>88.8</v>
      </c>
      <c r="CI18" s="228">
        <f ca="1">AVERAGEIFS($AC:$AC,$BW:$BW,BW18,$BX:$BX,BX18)</f>
        <v>88.8</v>
      </c>
      <c r="CJ18" s="1191">
        <v>0.7</v>
      </c>
      <c r="CK18" s="1191">
        <f ca="1">AVERAGEIF($BW:$BW,$BW18,$AD:$AD)</f>
        <v>0</v>
      </c>
      <c r="CL18" s="228">
        <f ca="1">AVERAGEIFS($AD:$AD,$BW:$BW,$BW18,$BX:$BX,$BX18)</f>
        <v>0</v>
      </c>
      <c r="CM18" s="1191">
        <v>0.7</v>
      </c>
      <c r="CN18" s="1191">
        <f ca="1">AVERAGEIF($BW:$BW,$BW18,$AE:$AE)</f>
        <v>0</v>
      </c>
      <c r="CO18" s="228">
        <f ca="1">AVERAGEIFS($AE:$AE,$BW:$BW,$BW18,$BX:$BX,$BX18)</f>
        <v>0</v>
      </c>
      <c r="CP18" s="1191">
        <v>0.7</v>
      </c>
      <c r="CQ18" s="1191">
        <f ca="1">AVERAGEIF($BW:$BW,BW18,$AF:$AF)</f>
        <v>474.66666666666669</v>
      </c>
      <c r="CR18" s="228">
        <f ca="1">AVERAGEIFS($AF:$AF,$BW:$BW,BW18,$BX:$BX,BX18)</f>
        <v>474.66666666666669</v>
      </c>
      <c r="CS18" s="1191">
        <v>1.3</v>
      </c>
      <c r="CT18" s="1191">
        <v>1.5</v>
      </c>
      <c r="CU18" s="1191">
        <f ca="1">AVERAGEIF($BW:$BW,$BW18,$AH:$AH)</f>
        <v>10.285714285714286</v>
      </c>
      <c r="CV18" s="228">
        <f ca="1">AVERAGEIFS($AH:$AH,$BW:$BW,$BW18,$BX:$BX,$BX18)</f>
        <v>10.285714285714286</v>
      </c>
      <c r="CW18" s="1191">
        <v>1.3</v>
      </c>
      <c r="CX18" s="1191">
        <v>1.5</v>
      </c>
      <c r="CY18" s="1191">
        <f ca="1">AVERAGEIF($BW:$BW,$BW18,$AI:$AI)</f>
        <v>0</v>
      </c>
      <c r="CZ18" s="228">
        <f ca="1">AVERAGEIFS($AI:$AI,$BW:$BW,$BW18,$BX:$BX,$BX18)</f>
        <v>0</v>
      </c>
      <c r="DA18" s="1191">
        <v>1.3</v>
      </c>
      <c r="DB18" s="1191">
        <v>1.5</v>
      </c>
      <c r="DC18" s="1191">
        <f ca="1">AVERAGEIF($BW:$BW,$BW18,$AJ:$AJ)</f>
        <v>0</v>
      </c>
      <c r="DD18" s="1218">
        <f ca="1">AVERAGEIFS($AJ:$AJ,$BW:$BW,$BW18,$BX:$BX,$BX18)</f>
        <v>0</v>
      </c>
      <c r="DE18" s="1191">
        <v>1.3</v>
      </c>
      <c r="DF18" s="1191">
        <v>1.5</v>
      </c>
      <c r="DG18" s="1191">
        <f ca="1">AVERAGEIF($BW:$BW,$BW18,$AM:$AM)</f>
        <v>872.1</v>
      </c>
      <c r="DH18" s="1218">
        <f ca="1">AVERAGEIFS($AM:$AM,$BW:$BW,$BW18,$BX:$BX,$BX18)</f>
        <v>872.1</v>
      </c>
      <c r="DI18" s="1191">
        <v>1.3</v>
      </c>
      <c r="DJ18" s="1191">
        <v>1.5</v>
      </c>
      <c r="DK18" s="1191">
        <v>1</v>
      </c>
      <c r="DL18" s="1191">
        <v>1</v>
      </c>
      <c r="DM18" s="1191">
        <v>25</v>
      </c>
      <c r="DN18" s="1191">
        <v>25</v>
      </c>
      <c r="DO18" s="1191">
        <v>1</v>
      </c>
      <c r="DP18" s="1191">
        <v>1</v>
      </c>
      <c r="DQ18" s="1191">
        <v>10</v>
      </c>
      <c r="DR18" s="1191">
        <v>10</v>
      </c>
      <c r="DS18" s="1191">
        <v>1</v>
      </c>
      <c r="DT18" s="1191">
        <v>1</v>
      </c>
      <c r="DU18" s="1191">
        <v>0</v>
      </c>
      <c r="DV18" s="1191">
        <v>0</v>
      </c>
      <c r="DW18" s="1191">
        <v>1</v>
      </c>
      <c r="DX18" s="1191">
        <v>1</v>
      </c>
      <c r="DY18" s="1191">
        <v>25</v>
      </c>
      <c r="DZ18" s="1191">
        <v>25</v>
      </c>
      <c r="EA18" s="1191">
        <v>1</v>
      </c>
      <c r="EB18" s="1191">
        <v>1</v>
      </c>
      <c r="EC18" s="1191">
        <v>10</v>
      </c>
      <c r="ED18" s="1191">
        <v>10</v>
      </c>
      <c r="EE18" s="1191">
        <v>1</v>
      </c>
      <c r="EF18" s="1191">
        <v>1</v>
      </c>
      <c r="EG18" s="1191">
        <v>0</v>
      </c>
      <c r="EH18" s="1191">
        <v>0</v>
      </c>
      <c r="EI18" s="1191">
        <f ca="1">AVERAGEIF($BW:$BW,$BW18,$BE:$BE)</f>
        <v>0</v>
      </c>
      <c r="EJ18" s="1218">
        <f ca="1">AVERAGEIFS($BE:$BE,$BW:$BW,$BW18,$BX:$BX,$BX18)</f>
        <v>0</v>
      </c>
      <c r="EK18" s="1191">
        <v>1.3</v>
      </c>
      <c r="EL18" s="1191">
        <v>1.5</v>
      </c>
      <c r="EM18" s="1191">
        <f ca="1">AVERAGEIF($BW:$BW,$BW18,$BF:$BF)</f>
        <v>0</v>
      </c>
      <c r="EN18" s="1218">
        <f ca="1">AVERAGEIFS($BF:$BF,$BW:$BW,$BW18,$BX:$BX,$BX18)</f>
        <v>0</v>
      </c>
      <c r="EO18" s="1191">
        <v>1.3</v>
      </c>
      <c r="EP18" s="1191">
        <v>1.5</v>
      </c>
      <c r="EQ18" s="1191">
        <f ca="1">AVERAGEIF($BW:$BW,$BW18,$BH:$BH)</f>
        <v>5.0619643263290968</v>
      </c>
      <c r="ER18" s="1218">
        <f ca="1">AVERAGEIFS($BH:$BH,$BW:$BW,$BW18,$BX:$BX,$BX18)</f>
        <v>5.0619643263290968</v>
      </c>
      <c r="ES18" s="1191">
        <v>1.3</v>
      </c>
      <c r="ET18" s="1191">
        <v>1.5</v>
      </c>
      <c r="EU18" s="1185" t="e">
        <f ca="1">AVERAGEIF($BW:$BW,$BW18,$BJ:$BJ)</f>
        <v>#DIV/0!</v>
      </c>
      <c r="EV18" s="1444" t="e">
        <f ca="1">AVERAGEIFS($BJ:$BJ,$BW:$BW,$BW18,$BX:$BX,$BX18)</f>
        <v>#DIV/0!</v>
      </c>
      <c r="EW18" s="1191">
        <v>1.3</v>
      </c>
      <c r="EX18" s="1191">
        <f ca="1">AVERAGEIF($BW:$BW,$BW18,$BP:$BP)</f>
        <v>0</v>
      </c>
      <c r="EY18" s="1218">
        <f ca="1">AVERAGEIFS($BP:$BP,$BW:$BW,$BW18,$BX:$BX,$BX18)</f>
        <v>0</v>
      </c>
      <c r="EZ18" s="1191">
        <v>1.3</v>
      </c>
      <c r="FA18" s="1191">
        <v>1.5</v>
      </c>
      <c r="FB18" s="1191">
        <f ca="1">AVERAGEIF($BW:$BW,$BW18,$BQ:$BQ)</f>
        <v>0</v>
      </c>
      <c r="FC18" s="1218">
        <f ca="1">AVERAGEIFS($BQ:$BQ,$BW:$BW,$BW18,$BX:$BX,$BX18)</f>
        <v>0</v>
      </c>
      <c r="FD18" s="1191">
        <v>1.3</v>
      </c>
      <c r="FE18" s="1191">
        <v>1.5</v>
      </c>
      <c r="FF18" s="1185">
        <f ca="1">AVERAGEIF($BW:$BW,$BW18,$AA:$AA)</f>
        <v>0</v>
      </c>
      <c r="FG18" s="1444">
        <f ca="1">AVERAGEIFS($AA:$AA,$BW:$BW,$BW18,$BX:$BX,$BX18)</f>
        <v>0</v>
      </c>
      <c r="FH18" s="1191">
        <v>0.7</v>
      </c>
      <c r="FL18" s="1181">
        <f>Datos!EZ18</f>
        <v>0</v>
      </c>
    </row>
    <row r="19" spans="1:168" ht="15.75" thickTop="1" thickBot="1">
      <c r="A19" s="177"/>
      <c r="B19" s="177"/>
      <c r="C19" s="860" t="str">
        <f>Datos!A19</f>
        <v>TOTAL</v>
      </c>
      <c r="D19" s="894"/>
      <c r="E19" s="1159">
        <f>SUBTOTAL(9,E15:E18)</f>
        <v>3</v>
      </c>
      <c r="F19" s="895">
        <f>SUBTOTAL(9,F15:F18)</f>
        <v>1541</v>
      </c>
      <c r="G19" s="895">
        <f>SUBTOTAL(9,G15:G18)</f>
        <v>1396</v>
      </c>
      <c r="H19" s="896">
        <f>SUBTOTAL(9,H15:H18)</f>
        <v>0</v>
      </c>
      <c r="I19" s="895">
        <f>SUBTOTAL(9,I15:I18)</f>
        <v>0</v>
      </c>
      <c r="J19" s="864">
        <f>SUBTOTAL(9,J14:J18)</f>
        <v>0</v>
      </c>
      <c r="K19" s="864">
        <f>SUBTOTAL(9,K14:K18)</f>
        <v>0</v>
      </c>
      <c r="L19" s="896">
        <f t="shared" ref="L19:V19" si="4">SUBTOTAL(9,L15:L18)</f>
        <v>0</v>
      </c>
      <c r="M19" s="896">
        <f t="shared" si="4"/>
        <v>0</v>
      </c>
      <c r="N19" s="896">
        <f t="shared" si="4"/>
        <v>0</v>
      </c>
      <c r="O19" s="897">
        <f t="shared" si="4"/>
        <v>0</v>
      </c>
      <c r="P19" s="897">
        <f t="shared" si="4"/>
        <v>0</v>
      </c>
      <c r="Q19" s="896">
        <f t="shared" si="4"/>
        <v>7</v>
      </c>
      <c r="R19" s="896">
        <f t="shared" si="4"/>
        <v>0</v>
      </c>
      <c r="S19" s="898">
        <f t="shared" si="4"/>
        <v>0</v>
      </c>
      <c r="T19" s="898">
        <f t="shared" si="4"/>
        <v>0</v>
      </c>
      <c r="U19" s="896">
        <f t="shared" si="4"/>
        <v>0</v>
      </c>
      <c r="V19" s="1109">
        <f t="shared" si="4"/>
        <v>0</v>
      </c>
      <c r="W19" s="861">
        <f>SUBTOTAL(9,W14:W18)</f>
        <v>0</v>
      </c>
      <c r="X19" s="988" t="e">
        <f>SUBTOTAL(9,X14:X18)</f>
        <v>#VALUE!</v>
      </c>
      <c r="Y19" s="897">
        <f>SUBTOTAL(9,Y15:Y18)</f>
        <v>0</v>
      </c>
      <c r="Z19" s="896">
        <f>SUBTOTAL(9,Z15:Z18)</f>
        <v>0</v>
      </c>
      <c r="AA19" s="899" t="str">
        <f>IF(ISNUMBER((Z19*factor_trimestre)/Datos!CN19),(Z19*factor_trimestre)/Datos!CN19,"-")</f>
        <v>-</v>
      </c>
      <c r="AB19" s="896">
        <f t="shared" ref="AB19:BF19" si="5">SUBTOTAL(9,AB15:AB18)</f>
        <v>433</v>
      </c>
      <c r="AC19" s="896">
        <f t="shared" si="5"/>
        <v>17</v>
      </c>
      <c r="AD19" s="896">
        <f t="shared" si="5"/>
        <v>0</v>
      </c>
      <c r="AE19" s="896">
        <f t="shared" si="5"/>
        <v>0</v>
      </c>
      <c r="AF19" s="896">
        <f t="shared" si="5"/>
        <v>1424</v>
      </c>
      <c r="AG19" s="896">
        <f t="shared" si="5"/>
        <v>0</v>
      </c>
      <c r="AH19" s="896">
        <f t="shared" si="5"/>
        <v>0</v>
      </c>
      <c r="AI19" s="896">
        <f t="shared" si="5"/>
        <v>0</v>
      </c>
      <c r="AJ19" s="896">
        <f t="shared" si="5"/>
        <v>0</v>
      </c>
      <c r="AK19" s="896">
        <f t="shared" si="5"/>
        <v>0</v>
      </c>
      <c r="AL19" s="896">
        <f t="shared" si="5"/>
        <v>0</v>
      </c>
      <c r="AM19" s="896">
        <f t="shared" si="5"/>
        <v>55</v>
      </c>
      <c r="AN19" s="896">
        <f t="shared" si="5"/>
        <v>0</v>
      </c>
      <c r="AO19" s="896">
        <f t="shared" si="5"/>
        <v>0</v>
      </c>
      <c r="AP19" s="896">
        <f t="shared" si="5"/>
        <v>0</v>
      </c>
      <c r="AQ19" s="896">
        <f t="shared" si="5"/>
        <v>0</v>
      </c>
      <c r="AR19" s="896">
        <f t="shared" si="5"/>
        <v>0</v>
      </c>
      <c r="AS19" s="896">
        <f t="shared" si="5"/>
        <v>0</v>
      </c>
      <c r="AT19" s="896">
        <f t="shared" si="5"/>
        <v>0</v>
      </c>
      <c r="AU19" s="896">
        <f t="shared" si="5"/>
        <v>0</v>
      </c>
      <c r="AV19" s="896">
        <f t="shared" si="5"/>
        <v>0</v>
      </c>
      <c r="AW19" s="896">
        <f t="shared" si="5"/>
        <v>0</v>
      </c>
      <c r="AX19" s="896">
        <f t="shared" si="5"/>
        <v>0</v>
      </c>
      <c r="AY19" s="896">
        <f t="shared" si="5"/>
        <v>0</v>
      </c>
      <c r="AZ19" s="896">
        <f t="shared" si="5"/>
        <v>0</v>
      </c>
      <c r="BA19" s="896">
        <f t="shared" si="5"/>
        <v>0</v>
      </c>
      <c r="BB19" s="896">
        <f t="shared" si="5"/>
        <v>0</v>
      </c>
      <c r="BC19" s="896">
        <f t="shared" si="5"/>
        <v>90</v>
      </c>
      <c r="BD19" s="896">
        <f t="shared" si="5"/>
        <v>262</v>
      </c>
      <c r="BE19" s="896">
        <f t="shared" si="5"/>
        <v>0</v>
      </c>
      <c r="BF19" s="896">
        <f t="shared" si="5"/>
        <v>0</v>
      </c>
      <c r="BG19" s="896">
        <f>IF(ISNUMBER(Datos!K19/Datos!J19),Datos!K19/Datos!J19," - ")</f>
        <v>1.4290429042904291</v>
      </c>
      <c r="BH19" s="900">
        <f>IF(ISNUMBER(((Datos!L19/Datos!K19)*11)/factor_trimestre),((Datos!L19/Datos!K19)*11)/factor_trimestre," - ")</f>
        <v>9.8660508083140872</v>
      </c>
      <c r="BI19" s="896">
        <f>SUBTOTAL(9,BI15:BI18)</f>
        <v>0.20785219399538107</v>
      </c>
      <c r="BJ19" s="896">
        <f>SUBTOTAL(9,BJ15:BJ18)</f>
        <v>0</v>
      </c>
      <c r="BK19" s="896">
        <f>SUBTOTAL(9,BK15:BK18)</f>
        <v>0</v>
      </c>
      <c r="BL19" s="896">
        <f>IF(ISNUMBER((I19-AB19+L19)/(F19)),(I19-AB19+L19)/(F19)," - ")</f>
        <v>-0.28098637248539909</v>
      </c>
      <c r="BM19" s="902">
        <f>IF(ISNUMBER((Datos!P19-Datos!Q19)/(Datos!R19-Datos!P19+Datos!Q19)),(Datos!P19-Datos!Q19)/(Datos!R19-Datos!P19+Datos!Q19)," - ")</f>
        <v>-0.15384615384615385</v>
      </c>
      <c r="BN19" s="896">
        <f t="shared" ref="BN19:BV19" si="6">SUBTOTAL(9,BN15:BN18)</f>
        <v>0</v>
      </c>
      <c r="BO19" s="896">
        <f t="shared" si="6"/>
        <v>0</v>
      </c>
      <c r="BP19" s="896">
        <f t="shared" si="6"/>
        <v>0</v>
      </c>
      <c r="BQ19" s="896">
        <f t="shared" si="6"/>
        <v>0</v>
      </c>
      <c r="BR19" s="896">
        <f t="shared" si="6"/>
        <v>0</v>
      </c>
      <c r="BS19" s="896">
        <f t="shared" si="6"/>
        <v>0</v>
      </c>
      <c r="BT19" s="896">
        <f t="shared" si="6"/>
        <v>0</v>
      </c>
      <c r="BU19" s="896">
        <f t="shared" si="6"/>
        <v>0</v>
      </c>
      <c r="BV19" s="906">
        <f t="shared" si="6"/>
        <v>2509.0909090909095</v>
      </c>
      <c r="BW19" s="905"/>
      <c r="BX19" s="905"/>
      <c r="BY19" s="1187"/>
      <c r="BZ19" s="1187"/>
      <c r="CA19" s="1187"/>
      <c r="CB19" s="1187"/>
      <c r="CC19" s="1187"/>
      <c r="CD19" s="1187"/>
      <c r="CE19" s="896"/>
      <c r="CF19" s="896"/>
      <c r="CG19" s="896"/>
      <c r="CH19" s="896"/>
      <c r="CI19" s="896"/>
      <c r="CJ19" s="896"/>
      <c r="CK19" s="896"/>
      <c r="CL19" s="896"/>
      <c r="CM19" s="896"/>
      <c r="CN19" s="896"/>
      <c r="CO19" s="896"/>
      <c r="CP19" s="896"/>
      <c r="CQ19" s="896"/>
      <c r="CR19" s="896"/>
      <c r="CS19" s="896"/>
      <c r="CT19" s="896"/>
      <c r="CU19" s="896"/>
      <c r="CV19" s="896"/>
      <c r="CW19" s="896"/>
      <c r="CX19" s="896"/>
      <c r="CY19" s="896"/>
      <c r="CZ19" s="896"/>
      <c r="DA19" s="896"/>
      <c r="DB19" s="896"/>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c r="EQ19" s="1392"/>
      <c r="ER19" s="1392"/>
      <c r="ES19" s="1392"/>
      <c r="ET19" s="1392"/>
      <c r="EU19" s="1392"/>
      <c r="EV19" s="1392"/>
      <c r="EW19" s="1392"/>
      <c r="EX19" s="1392"/>
      <c r="EY19" s="1392"/>
      <c r="EZ19" s="1392"/>
      <c r="FA19" s="1392"/>
      <c r="FB19" s="1392"/>
      <c r="FC19" s="1392"/>
      <c r="FD19" s="1392"/>
      <c r="FE19" s="1392"/>
      <c r="FF19" s="1392"/>
      <c r="FG19" s="1392"/>
      <c r="FH19" s="1392"/>
      <c r="FL19" s="1181"/>
    </row>
    <row r="20" spans="1:168" ht="18.75" customHeight="1" thickTop="1" thickBot="1">
      <c r="A20" s="171"/>
      <c r="B20" s="171"/>
      <c r="C20" s="815" t="str">
        <f>Datos!A20</f>
        <v>TOTAL JURISDICCIONES</v>
      </c>
      <c r="D20" s="815"/>
      <c r="E20" s="1161">
        <f t="shared" ref="E20:R20" si="7">SUBTOTAL(9,E9:E19)</f>
        <v>6</v>
      </c>
      <c r="F20" s="817">
        <f t="shared" si="7"/>
        <v>1541</v>
      </c>
      <c r="G20" s="817">
        <f t="shared" si="7"/>
        <v>1396</v>
      </c>
      <c r="H20" s="819">
        <f t="shared" si="7"/>
        <v>0</v>
      </c>
      <c r="I20" s="817">
        <f t="shared" si="7"/>
        <v>0</v>
      </c>
      <c r="J20" s="819">
        <f t="shared" si="7"/>
        <v>0</v>
      </c>
      <c r="K20" s="819">
        <f t="shared" si="7"/>
        <v>0</v>
      </c>
      <c r="L20" s="878">
        <f t="shared" si="7"/>
        <v>0</v>
      </c>
      <c r="M20" s="878">
        <f t="shared" si="7"/>
        <v>0</v>
      </c>
      <c r="N20" s="878">
        <f t="shared" si="7"/>
        <v>25</v>
      </c>
      <c r="O20" s="878">
        <f t="shared" si="7"/>
        <v>0</v>
      </c>
      <c r="P20" s="878">
        <f t="shared" si="7"/>
        <v>0</v>
      </c>
      <c r="Q20" s="819">
        <f t="shared" si="7"/>
        <v>237</v>
      </c>
      <c r="R20" s="819">
        <f t="shared" si="7"/>
        <v>0</v>
      </c>
      <c r="S20" s="909">
        <f>IF(ISNUMBER(AVERAGE(S8:S19)),AVERAGE(S8:S19),"-")</f>
        <v>0</v>
      </c>
      <c r="T20" s="909">
        <f>IF(ISNUMBER(AVERAGE(T8:T19)),AVERAGE(T8:T19),"-")</f>
        <v>0</v>
      </c>
      <c r="U20" s="819">
        <f>SUBTOTAL(9,U9:U19)</f>
        <v>0</v>
      </c>
      <c r="V20" s="1112">
        <f>IF(ISNUMBER(AVERAGE(V8:V19)),AVERAGE(V8:V19),"-")</f>
        <v>0</v>
      </c>
      <c r="W20" s="877">
        <f>SUBTOTAL(9,W9:W19)</f>
        <v>0</v>
      </c>
      <c r="X20" s="1112" t="str">
        <f>IF(ISNUMBER(AVERAGE(X8:X19)),AVERAGE(X8:X19),"-")</f>
        <v>-</v>
      </c>
      <c r="Y20" s="910">
        <f>SUBTOTAL(9,Y9:Y19)</f>
        <v>0</v>
      </c>
      <c r="Z20" s="828">
        <f>SUBTOTAL(9,Z9:Z19)</f>
        <v>0</v>
      </c>
      <c r="AA20" s="911">
        <f>IF(ISNUMBER(AVERAGE(AA8:AA19)),AVERAGE(AA8:AA19),"-")</f>
        <v>0</v>
      </c>
      <c r="AB20" s="818">
        <f t="shared" ref="AB20:BF20" si="8">SUBTOTAL(9,AB9:AB19)</f>
        <v>433</v>
      </c>
      <c r="AC20" s="818">
        <f t="shared" si="8"/>
        <v>296</v>
      </c>
      <c r="AD20" s="818">
        <f t="shared" si="8"/>
        <v>0</v>
      </c>
      <c r="AE20" s="818">
        <f t="shared" si="8"/>
        <v>0</v>
      </c>
      <c r="AF20" s="825">
        <f t="shared" si="8"/>
        <v>1424</v>
      </c>
      <c r="AG20" s="825">
        <f t="shared" si="8"/>
        <v>0</v>
      </c>
      <c r="AH20" s="825">
        <f t="shared" si="8"/>
        <v>24</v>
      </c>
      <c r="AI20" s="825">
        <f t="shared" si="8"/>
        <v>0</v>
      </c>
      <c r="AJ20" s="818">
        <f t="shared" si="8"/>
        <v>0</v>
      </c>
      <c r="AK20" s="825">
        <f t="shared" si="8"/>
        <v>0</v>
      </c>
      <c r="AL20" s="825">
        <f t="shared" si="8"/>
        <v>0</v>
      </c>
      <c r="AM20" s="825">
        <f t="shared" si="8"/>
        <v>2907</v>
      </c>
      <c r="AN20" s="826">
        <f t="shared" si="8"/>
        <v>0</v>
      </c>
      <c r="AO20" s="826">
        <f t="shared" si="8"/>
        <v>0</v>
      </c>
      <c r="AP20" s="826">
        <f t="shared" si="8"/>
        <v>0</v>
      </c>
      <c r="AQ20" s="826">
        <f t="shared" si="8"/>
        <v>0</v>
      </c>
      <c r="AR20" s="826">
        <f t="shared" si="8"/>
        <v>0</v>
      </c>
      <c r="AS20" s="827">
        <f t="shared" si="8"/>
        <v>0</v>
      </c>
      <c r="AT20" s="828">
        <f t="shared" si="8"/>
        <v>0</v>
      </c>
      <c r="AU20" s="829">
        <f t="shared" si="8"/>
        <v>0</v>
      </c>
      <c r="AV20" s="827">
        <f t="shared" si="8"/>
        <v>0</v>
      </c>
      <c r="AW20" s="827">
        <f t="shared" si="8"/>
        <v>0</v>
      </c>
      <c r="AX20" s="827">
        <f t="shared" si="8"/>
        <v>0</v>
      </c>
      <c r="AY20" s="827">
        <f t="shared" si="8"/>
        <v>0</v>
      </c>
      <c r="AZ20" s="827">
        <f t="shared" si="8"/>
        <v>0</v>
      </c>
      <c r="BA20" s="829">
        <f t="shared" si="8"/>
        <v>0</v>
      </c>
      <c r="BB20" s="817">
        <f t="shared" si="8"/>
        <v>0</v>
      </c>
      <c r="BC20" s="817">
        <f t="shared" si="8"/>
        <v>333</v>
      </c>
      <c r="BD20" s="817">
        <f t="shared" si="8"/>
        <v>462</v>
      </c>
      <c r="BE20" s="817">
        <f t="shared" si="8"/>
        <v>0</v>
      </c>
      <c r="BF20" s="827">
        <f t="shared" si="8"/>
        <v>0</v>
      </c>
      <c r="BG20" s="912">
        <f>IF(ISNUMBER(Datos!K20/Datos!J20),Datos!K20/Datos!J20," - ")</f>
        <v>1.1623740201567749</v>
      </c>
      <c r="BH20" s="912">
        <f>IF(ISNUMBER(((Datos!L20/Datos!K20)*11)/factor_trimestre),((Datos!L20/Datos!K20)*11)/factor_trimestre," - ")</f>
        <v>8.8526011560693636</v>
      </c>
      <c r="BI20" s="810">
        <f>IF(ISNUMBER(Datos!J20/Datos!I20),Datos!J20/Datos!I20," - ")</f>
        <v>0.3126750700280112</v>
      </c>
      <c r="BJ20" s="1450" t="str">
        <f>IF(ISNUMBER(Datos!CI20/Datos!CJ20),Datos!CI20/Datos!CJ20," - ")</f>
        <v xml:space="preserve"> - </v>
      </c>
      <c r="BK20" s="913">
        <f>SUBTOTAL(9,BK9:BK19)</f>
        <v>0</v>
      </c>
      <c r="BL20" s="841">
        <f>IF(OR(ISNUMBER(FIND("01",Criterios!A8,1)),ISNUMBER(FIND("02",Criterios!A8,1)),ISNUMBER(FIND("03",Criterios!A8,1)),ISNUMBER(FIND("04",Criterios!A8,1))),(J20-AB20+L20)/(F20-L20),(I20-AB20+L20)/(F20-L20))</f>
        <v>-0.28098637248539909</v>
      </c>
      <c r="BM20" s="886">
        <f>IF(ISNUMBER((Datos!P20-Datos!Q20+R20)/(Datos!R20-Datos!P20+Datos!Q20-R20)),(Datos!P20-Datos!Q20+R20)/(Datos!R20-Datos!P20+Datos!Q20-R20)," - ")</f>
        <v>-1.9892110586648686E-2</v>
      </c>
      <c r="BN20" s="914">
        <f t="shared" ref="BN20:BV20" si="9">SUBTOTAL(9,BN9:BN19)</f>
        <v>0</v>
      </c>
      <c r="BO20" s="914">
        <f t="shared" si="9"/>
        <v>0</v>
      </c>
      <c r="BP20" s="877">
        <f t="shared" si="9"/>
        <v>0</v>
      </c>
      <c r="BQ20" s="877">
        <f t="shared" si="9"/>
        <v>0</v>
      </c>
      <c r="BR20" s="877">
        <f t="shared" si="9"/>
        <v>0</v>
      </c>
      <c r="BS20" s="877">
        <f t="shared" si="9"/>
        <v>0</v>
      </c>
      <c r="BT20" s="877">
        <f t="shared" si="9"/>
        <v>0</v>
      </c>
      <c r="BU20" s="877">
        <f t="shared" si="9"/>
        <v>0</v>
      </c>
      <c r="BV20" s="1104">
        <f t="shared" si="9"/>
        <v>3819.0000000000005</v>
      </c>
      <c r="BW20" s="1183"/>
      <c r="BX20" s="1183"/>
      <c r="BY20" s="1188"/>
      <c r="BZ20" s="1188"/>
      <c r="CA20" s="1188"/>
      <c r="CB20" s="1188"/>
      <c r="CC20" s="1188"/>
      <c r="CD20" s="1188"/>
      <c r="CE20" s="818"/>
      <c r="CF20" s="818"/>
      <c r="CG20" s="818"/>
      <c r="CH20" s="818"/>
      <c r="CI20" s="818"/>
      <c r="CJ20" s="818"/>
      <c r="CK20" s="818"/>
      <c r="CL20" s="818"/>
      <c r="CM20" s="818"/>
      <c r="CN20" s="818"/>
      <c r="CO20" s="818"/>
      <c r="CP20" s="818"/>
      <c r="CQ20" s="818"/>
      <c r="CR20" s="818"/>
      <c r="CS20" s="818"/>
      <c r="CT20" s="818"/>
      <c r="CU20" s="818"/>
      <c r="CV20" s="818"/>
      <c r="CW20" s="818"/>
      <c r="CX20" s="818"/>
      <c r="CY20" s="818"/>
      <c r="CZ20" s="818"/>
      <c r="DA20" s="818"/>
      <c r="DB20" s="81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1368"/>
      <c r="ED20" s="1368"/>
      <c r="EE20" s="1368"/>
      <c r="EF20" s="1368"/>
      <c r="EG20" s="1368"/>
      <c r="EH20" s="1368"/>
      <c r="EI20" s="1368"/>
      <c r="EJ20" s="1368"/>
      <c r="EK20" s="1368"/>
      <c r="EL20" s="1368"/>
      <c r="EM20" s="1368"/>
      <c r="EN20" s="1368"/>
      <c r="EO20" s="1368"/>
      <c r="EP20" s="1368"/>
      <c r="EQ20" s="1368"/>
      <c r="ER20" s="1368"/>
      <c r="ES20" s="1368"/>
      <c r="ET20" s="1368"/>
      <c r="EU20" s="823"/>
      <c r="EV20" s="823"/>
      <c r="EW20" s="1368"/>
      <c r="EX20" s="1368"/>
      <c r="EY20" s="1368"/>
      <c r="EZ20" s="1368"/>
      <c r="FA20" s="1368"/>
      <c r="FB20" s="1368"/>
      <c r="FC20" s="1368"/>
      <c r="FD20" s="1368"/>
      <c r="FE20" s="1368"/>
      <c r="FF20" s="823"/>
      <c r="FG20" s="823"/>
      <c r="FH20" s="1368"/>
    </row>
    <row r="21" spans="1:168" ht="18.75" customHeight="1" thickTop="1" thickBot="1">
      <c r="A21" s="166"/>
      <c r="B21" s="166"/>
      <c r="C21" s="835" t="s">
        <v>265</v>
      </c>
      <c r="D21" s="916"/>
      <c r="E21" s="1162">
        <f ca="1">IF(ISNUMBER(SUMIF($B8:$B19,$B21,E8:E19)/INDIRECT("Datos!AP"&amp;ROW()-1)),SUMIF($B8:$B19,$B21,E8:E19)/INDIRECT("Datos!AP"&amp;ROW()-1),"-")</f>
        <v>0</v>
      </c>
      <c r="F21" s="810">
        <f ca="1">IF(ISNUMBER(SUMIF($B8:$B19,$B21,F8:F19)/INDIRECT("Datos!AP"&amp;ROW()-1)),SUMIF($B8:$B19,$B21,F8:F19)/INDIRECT("Datos!AP"&amp;ROW()-1),"-")</f>
        <v>0</v>
      </c>
      <c r="G21" s="820">
        <f>IF(ISNUMBER(AVERAGE(G8:G19)),AVERAGE(G8:G19),"-")</f>
        <v>558.4</v>
      </c>
      <c r="H21" s="812">
        <f t="shared" ref="H21:AN21" ca="1" si="10">IF(ISNUMBER(SUMIF($B8:$B19,$B21,H8:H19)/INDIRECT("Datos!AP"&amp;ROW()-1)),SUMIF($B8:$B19,$B21,H8:H19)/INDIRECT("Datos!AP"&amp;ROW()-1),"-")</f>
        <v>0</v>
      </c>
      <c r="I21" s="810">
        <f t="shared" ca="1" si="10"/>
        <v>0</v>
      </c>
      <c r="J21" s="812">
        <f t="shared" ca="1" si="10"/>
        <v>0</v>
      </c>
      <c r="K21" s="812">
        <f t="shared" ca="1" si="10"/>
        <v>0</v>
      </c>
      <c r="L21" s="812">
        <f t="shared" ca="1" si="10"/>
        <v>0</v>
      </c>
      <c r="M21" s="812">
        <f t="shared" ca="1" si="10"/>
        <v>0</v>
      </c>
      <c r="N21" s="812">
        <f t="shared" ca="1" si="10"/>
        <v>0</v>
      </c>
      <c r="O21" s="812">
        <f t="shared" ca="1" si="10"/>
        <v>0</v>
      </c>
      <c r="P21" s="812">
        <f t="shared" ca="1" si="10"/>
        <v>0</v>
      </c>
      <c r="Q21" s="812">
        <f t="shared" ca="1" si="10"/>
        <v>0</v>
      </c>
      <c r="R21" s="812">
        <f t="shared" ca="1" si="10"/>
        <v>0</v>
      </c>
      <c r="S21" s="917">
        <f t="shared" ca="1" si="10"/>
        <v>0</v>
      </c>
      <c r="T21" s="917">
        <f t="shared" ca="1" si="10"/>
        <v>0</v>
      </c>
      <c r="U21" s="812">
        <f t="shared" ca="1" si="10"/>
        <v>0</v>
      </c>
      <c r="V21" s="990">
        <f t="shared" ca="1" si="10"/>
        <v>0</v>
      </c>
      <c r="W21" s="812">
        <f t="shared" ca="1" si="10"/>
        <v>0</v>
      </c>
      <c r="X21" s="990">
        <f t="shared" ca="1" si="10"/>
        <v>0</v>
      </c>
      <c r="Y21" s="918">
        <f t="shared" ca="1" si="10"/>
        <v>0</v>
      </c>
      <c r="Z21" s="840">
        <f t="shared" ca="1" si="10"/>
        <v>0</v>
      </c>
      <c r="AA21" s="838">
        <f t="shared" ca="1" si="10"/>
        <v>0</v>
      </c>
      <c r="AB21" s="811">
        <f t="shared" ca="1" si="10"/>
        <v>0</v>
      </c>
      <c r="AC21" s="811">
        <f t="shared" ca="1" si="10"/>
        <v>0</v>
      </c>
      <c r="AD21" s="811">
        <f t="shared" ca="1" si="10"/>
        <v>0</v>
      </c>
      <c r="AE21" s="811">
        <f t="shared" ca="1" si="10"/>
        <v>0</v>
      </c>
      <c r="AF21" s="811">
        <f t="shared" ca="1" si="10"/>
        <v>0</v>
      </c>
      <c r="AG21" s="811">
        <f t="shared" ca="1" si="10"/>
        <v>0</v>
      </c>
      <c r="AH21" s="811">
        <f t="shared" ca="1" si="10"/>
        <v>0</v>
      </c>
      <c r="AI21" s="811">
        <f t="shared" ca="1" si="10"/>
        <v>0</v>
      </c>
      <c r="AJ21" s="811">
        <f t="shared" ca="1" si="10"/>
        <v>0</v>
      </c>
      <c r="AK21" s="811">
        <f t="shared" ca="1" si="10"/>
        <v>0</v>
      </c>
      <c r="AL21" s="811">
        <f t="shared" ca="1" si="10"/>
        <v>0</v>
      </c>
      <c r="AM21" s="811">
        <f t="shared" ca="1" si="10"/>
        <v>0</v>
      </c>
      <c r="AN21" s="839">
        <f t="shared" ca="1" si="10"/>
        <v>0</v>
      </c>
      <c r="AO21" s="839">
        <f ca="1">IF(ISNUMBER(SUMIF($B8:$B19,$B21,AN8:AN19)/INDIRECT("Datos!AP"&amp;ROW()-1)),SUMIF($B8:$B19,$B21,AN8:AN19)/INDIRECT("Datos!AP"&amp;ROW()-1),"-")</f>
        <v>0</v>
      </c>
      <c r="AP21" s="839">
        <f t="shared" ref="AP21:BI21" ca="1" si="11">IF(ISNUMBER(SUMIF($B8:$B19,$B21,AP8:AP19)/INDIRECT("Datos!AP"&amp;ROW()-1)),SUMIF($B8:$B19,$B21,AP8:AP19)/INDIRECT("Datos!AP"&amp;ROW()-1),"-")</f>
        <v>0</v>
      </c>
      <c r="AQ21" s="839">
        <f t="shared" ca="1" si="11"/>
        <v>0</v>
      </c>
      <c r="AR21" s="839">
        <f t="shared" ca="1" si="11"/>
        <v>0</v>
      </c>
      <c r="AS21" s="812">
        <f t="shared" ca="1" si="11"/>
        <v>0</v>
      </c>
      <c r="AT21" s="840">
        <f t="shared" ca="1" si="11"/>
        <v>0</v>
      </c>
      <c r="AU21" s="839">
        <f t="shared" ca="1" si="11"/>
        <v>0</v>
      </c>
      <c r="AV21" s="812">
        <f t="shared" ca="1" si="11"/>
        <v>0</v>
      </c>
      <c r="AW21" s="919">
        <f t="shared" ca="1" si="11"/>
        <v>0</v>
      </c>
      <c r="AX21" s="919">
        <f t="shared" ca="1" si="11"/>
        <v>0</v>
      </c>
      <c r="AY21" s="919">
        <f t="shared" ca="1" si="11"/>
        <v>0</v>
      </c>
      <c r="AZ21" s="919">
        <f t="shared" ca="1" si="11"/>
        <v>0</v>
      </c>
      <c r="BA21" s="839">
        <f t="shared" ca="1" si="11"/>
        <v>0</v>
      </c>
      <c r="BB21" s="810">
        <f t="shared" ca="1" si="11"/>
        <v>0</v>
      </c>
      <c r="BC21" s="810">
        <f t="shared" ca="1" si="11"/>
        <v>0</v>
      </c>
      <c r="BD21" s="810">
        <f t="shared" ca="1" si="11"/>
        <v>0</v>
      </c>
      <c r="BE21" s="810">
        <f t="shared" ca="1" si="11"/>
        <v>0</v>
      </c>
      <c r="BF21" s="812">
        <f t="shared" ca="1" si="11"/>
        <v>0</v>
      </c>
      <c r="BG21" s="812">
        <f t="shared" ca="1" si="11"/>
        <v>0</v>
      </c>
      <c r="BH21" s="812">
        <f t="shared" ca="1" si="11"/>
        <v>0</v>
      </c>
      <c r="BI21" s="810">
        <f t="shared" ca="1" si="11"/>
        <v>0</v>
      </c>
      <c r="BJ21" s="1451" t="e">
        <f ca="1">INDIRECT("Datos!CI"&amp;ROW()-1)/INDIRECT("Datos!CJ"&amp;ROW()-1)</f>
        <v>#DIV/0!</v>
      </c>
      <c r="BK21" s="920">
        <f ca="1">IF(ISNUMBER(SUMIF($B8:$B19,$B21,BK8:BK19)/INDIRECT("Datos!AP"&amp;ROW()-1)),SUMIF($B8:$B19,$B21,BK8:BK19)/INDIRECT("Datos!AP"&amp;ROW()-1),"-")</f>
        <v>0</v>
      </c>
      <c r="BL21" s="841" t="e">
        <f ca="1">IF(OR(ISNUMBER(FIND("01",Criterios!A8,1)),ISNUMBER(FIND("02",Criterios!A8,1)),ISNUMBER(FIND("03",Criterios!A8,1)),ISNUMBER(FIND("04",Criterios!A8,1))),(J21-AB21+L21)/(F21-L21),(I21-AB21+L21)/(F21-L21))</f>
        <v>#DIV/0!</v>
      </c>
      <c r="BM21" s="891">
        <f t="shared" ref="BM21:BS21" ca="1" si="12">IF(ISNUMBER(SUMIF($B8:$B19,$B21,BM8:BM19)/INDIRECT("Datos!AP"&amp;ROW()-1)),SUMIF($B8:$B19,$B21,BM8:BM19)/INDIRECT("Datos!AP"&amp;ROW()-1),"-")</f>
        <v>0</v>
      </c>
      <c r="BN21" s="921">
        <f t="shared" ca="1" si="12"/>
        <v>0</v>
      </c>
      <c r="BO21" s="921">
        <f t="shared" ca="1" si="12"/>
        <v>0</v>
      </c>
      <c r="BP21" s="887">
        <f t="shared" ca="1" si="12"/>
        <v>0</v>
      </c>
      <c r="BQ21" s="887">
        <f t="shared" ca="1" si="12"/>
        <v>0</v>
      </c>
      <c r="BR21" s="887">
        <f t="shared" ca="1" si="12"/>
        <v>0</v>
      </c>
      <c r="BS21" s="887">
        <f t="shared" ca="1" si="12"/>
        <v>0</v>
      </c>
      <c r="BT21" s="887"/>
      <c r="BU21" s="887"/>
      <c r="BV21" s="813"/>
      <c r="BW21" s="813"/>
      <c r="BX21" s="813"/>
      <c r="BY21" s="1189"/>
      <c r="BZ21" s="1189"/>
      <c r="CA21" s="1189"/>
      <c r="CB21" s="1189"/>
      <c r="CC21" s="1189"/>
      <c r="CD21" s="1189"/>
      <c r="CE21" s="811"/>
      <c r="CF21" s="811"/>
      <c r="CG21" s="811"/>
      <c r="CH21" s="811"/>
      <c r="CI21" s="811"/>
      <c r="CJ21" s="811"/>
      <c r="CK21" s="811"/>
      <c r="CL21" s="811"/>
      <c r="CM21" s="811"/>
      <c r="CN21" s="811"/>
      <c r="CO21" s="811"/>
      <c r="CP21" s="811"/>
      <c r="CQ21" s="811"/>
      <c r="CR21" s="811"/>
      <c r="CS21" s="811"/>
      <c r="CT21" s="811"/>
      <c r="CU21" s="811"/>
      <c r="CV21" s="811"/>
      <c r="CW21" s="811"/>
      <c r="CX21" s="811"/>
      <c r="CY21" s="811"/>
      <c r="CZ21" s="811"/>
      <c r="DA21" s="811"/>
      <c r="DB21" s="811"/>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363"/>
      <c r="ED21" s="1363"/>
      <c r="EE21" s="1363"/>
      <c r="EF21" s="1363"/>
      <c r="EG21" s="1363"/>
      <c r="EH21" s="1363"/>
      <c r="EI21" s="1363"/>
      <c r="EJ21" s="1363"/>
      <c r="EK21" s="1363"/>
      <c r="EL21" s="1363"/>
      <c r="EM21" s="1363"/>
      <c r="EN21" s="1363"/>
      <c r="EO21" s="1363"/>
      <c r="EP21" s="1363"/>
      <c r="EQ21" s="1363"/>
      <c r="ER21" s="1363"/>
      <c r="ES21" s="1363"/>
      <c r="ET21" s="1363"/>
      <c r="EU21" s="1445"/>
      <c r="EV21" s="1445"/>
      <c r="EW21" s="1363"/>
      <c r="EX21" s="1363"/>
      <c r="EY21" s="1363"/>
      <c r="EZ21" s="1363"/>
      <c r="FA21" s="1363"/>
      <c r="FB21" s="1363"/>
      <c r="FC21" s="1363"/>
      <c r="FD21" s="1363"/>
      <c r="FE21" s="1363"/>
      <c r="FF21" s="1445"/>
      <c r="FG21" s="1445"/>
      <c r="FH21" s="1363"/>
    </row>
    <row r="22" spans="1:168" ht="18.75" hidden="1" customHeight="1" thickTop="1" thickBot="1">
      <c r="A22" s="167"/>
      <c r="B22" s="167"/>
      <c r="C22" s="167" t="s">
        <v>266</v>
      </c>
      <c r="D22" s="481"/>
      <c r="E22" s="516">
        <f>IF(ISNUMBER(STDEV(E8:E19)),STDEV(E8:E19),"-")</f>
        <v>1.5491933384829668</v>
      </c>
      <c r="F22" s="550">
        <f>IF(ISNUMBER(STDEV(F8:F19)),STDEV(F8:F19),"-")</f>
        <v>889.69676482121338</v>
      </c>
      <c r="G22" s="551">
        <f>IF(ISNUMBER(STDEV(G8:G19)),STDEV(G8:G19),"-")</f>
        <v>758.71951339081829</v>
      </c>
      <c r="H22" s="552"/>
      <c r="I22" s="550">
        <f>IF(ISNUMBER(STDEV(I8:I19)),STDEV(I8:I19),"-")</f>
        <v>0</v>
      </c>
      <c r="J22" s="253">
        <f>IF(ISNUMBER(STDEV(J8:J19)),STDEV(J8:J19),"-")</f>
        <v>0</v>
      </c>
      <c r="K22" s="281"/>
      <c r="L22" s="552"/>
      <c r="M22" s="552"/>
      <c r="N22" s="552"/>
      <c r="O22" s="552"/>
      <c r="P22" s="552"/>
      <c r="Q22" s="552"/>
      <c r="R22" s="552"/>
      <c r="S22" s="553"/>
      <c r="T22" s="553"/>
      <c r="U22" s="552"/>
      <c r="V22" s="1113"/>
      <c r="W22" s="300"/>
      <c r="X22" s="991"/>
      <c r="Y22" s="626"/>
      <c r="Z22" s="550">
        <f>IF(ISNUMBER(STDEV(Z8:Z19)),STDEV(Z8:Z19),"-")</f>
        <v>0</v>
      </c>
      <c r="AA22" s="553">
        <f>IF(ISNUMBER(STDEV(AA8:AA19)),STDEV(AA8:AA19),"-")</f>
        <v>0</v>
      </c>
      <c r="AB22" s="552">
        <f>IF(ISNUMBER(STDEV(AB8:AB19)),STDEV(AB8:AB19),"-")</f>
        <v>237.16386739973692</v>
      </c>
      <c r="AC22" s="554"/>
      <c r="AD22" s="554"/>
      <c r="AE22" s="554"/>
      <c r="AF22" s="554"/>
      <c r="AG22" s="554"/>
      <c r="AH22" s="554"/>
      <c r="AI22" s="554"/>
      <c r="AJ22" s="554"/>
      <c r="AK22" s="554"/>
      <c r="AL22" s="554"/>
      <c r="AM22" s="554"/>
      <c r="AN22" s="554"/>
      <c r="AO22" s="554"/>
      <c r="AP22" s="554"/>
      <c r="AQ22" s="554"/>
      <c r="AR22" s="554"/>
      <c r="AS22" s="555">
        <f>IF(ISNUMBER(STDEV(AS8:AS19)),STDEV(AS8:AS19),"-")</f>
        <v>0</v>
      </c>
      <c r="AT22" s="556">
        <f>IF(ISNUMBER(STDEV(AT8:AT19)),STDEV(AT8:AT19),"-")</f>
        <v>0</v>
      </c>
      <c r="AU22" s="554">
        <f>IF(ISNUMBER(STDEV(AU8:AU19)),STDEV(AU8:AU19),"-")</f>
        <v>0</v>
      </c>
      <c r="AV22" s="557"/>
      <c r="AW22" s="557"/>
      <c r="AX22" s="557"/>
      <c r="AY22" s="557"/>
      <c r="AZ22" s="557"/>
      <c r="BA22" s="554">
        <f>IF(ISNUMBER(STDEV(BA8:BA19)),STDEV(BA8:BA19),"-")</f>
        <v>0</v>
      </c>
      <c r="BB22" s="297"/>
      <c r="BC22" s="550">
        <f>IF(ISNUMBER(STDEV(BC8:BC19)),STDEV(BC8:BC19),"-")</f>
        <v>109.88357475073333</v>
      </c>
      <c r="BD22" s="550"/>
      <c r="BE22" s="550">
        <f>IF(ISNUMBER(STDEV(BE8:BE19)),STDEV(BE8:BE19),"-")</f>
        <v>0</v>
      </c>
      <c r="BF22" s="555">
        <f>IF(ISNUMBER(STDEV(BF8:BF19)),STDEV(BF8:BF19),"-")</f>
        <v>0</v>
      </c>
      <c r="BG22" s="772">
        <f>IF(ISNUMBER(STDEV(BG8:BG19)),STDEV(BG8:BG19),"-")</f>
        <v>0.23192512054333206</v>
      </c>
      <c r="BH22" s="773">
        <f>IF(ISNUMBER(STDEV(BH8:BH19)),STDEV(BH8:BH19),"-")</f>
        <v>1.0542561333785487</v>
      </c>
      <c r="BI22" s="248">
        <f>IF(ISNUMBER(STDEV(BI8:BI19)),STDEV(BI8:BI19),"-")</f>
        <v>0.10163331304112998</v>
      </c>
      <c r="BJ22" s="1415" t="str">
        <f>IF(ISNUMBER(BL22/BM22),BL22/BM22," - ")</f>
        <v xml:space="preserve"> - </v>
      </c>
      <c r="BK22" s="574"/>
      <c r="BL22" s="558" t="str">
        <f>IF(ISNUMBER(STDEV(BL8:BL19)),STDEV(BL8:BL19),"-")</f>
        <v>-</v>
      </c>
      <c r="BM22" s="559"/>
      <c r="BN22" s="586"/>
      <c r="BO22" s="586"/>
      <c r="BP22" s="560">
        <f>IF(ISNUMBER(STDEV(BP8:BP19)),STDEV(BP8:BP19),"-")</f>
        <v>0</v>
      </c>
      <c r="BQ22" s="560">
        <f>IF(ISNUMBER(STDEV(BQ8:BQ19)),STDEV(BQ8:BQ19),"-")</f>
        <v>0</v>
      </c>
      <c r="BR22" s="560"/>
      <c r="BS22" s="560"/>
      <c r="BT22" s="561">
        <f>IF(ISNUMBER(STDEV(BT8:BT19)),STDEV(BT8:BT19),"-")</f>
        <v>0</v>
      </c>
      <c r="BU22" s="562">
        <f>IF(ISNUMBER(STDEV(BU8:BU19)),STDEV(BU8:BU19),"-")</f>
        <v>0</v>
      </c>
      <c r="BV22" s="1105">
        <f>IF(ISNUMBER(STDEV(BV8:BV19)),STDEV(BV8:BV19),"-")</f>
        <v>709.02059325021912</v>
      </c>
      <c r="BW22" s="556"/>
      <c r="BX22" s="556"/>
      <c r="BY22" s="1190"/>
      <c r="BZ22" s="1190"/>
      <c r="CA22" s="1190"/>
      <c r="CB22" s="1190"/>
      <c r="CC22" s="1190"/>
      <c r="CD22" s="1190"/>
      <c r="CE22" s="554"/>
      <c r="CF22" s="554"/>
      <c r="CG22" s="554"/>
      <c r="CH22" s="554"/>
      <c r="CI22" s="554"/>
      <c r="CJ22" s="554"/>
      <c r="CK22" s="554"/>
      <c r="CL22" s="554"/>
      <c r="CM22" s="554"/>
      <c r="CN22" s="554"/>
      <c r="CO22" s="554"/>
      <c r="CP22" s="554"/>
      <c r="CQ22" s="554"/>
      <c r="CR22" s="554"/>
      <c r="CS22" s="554"/>
      <c r="CT22" s="554"/>
      <c r="CU22" s="554"/>
      <c r="CV22" s="554"/>
      <c r="CW22" s="554"/>
      <c r="CX22" s="554"/>
      <c r="CY22" s="554"/>
      <c r="CZ22" s="554"/>
      <c r="DA22" s="554"/>
      <c r="DB22" s="554"/>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302"/>
      <c r="ED22" s="1302"/>
      <c r="EE22" s="1302"/>
      <c r="EF22" s="1302"/>
      <c r="EG22" s="1302"/>
      <c r="EH22" s="1302"/>
      <c r="EI22" s="1302"/>
      <c r="EJ22" s="1302"/>
      <c r="EK22" s="1302"/>
      <c r="EL22" s="1302"/>
      <c r="EM22" s="1302"/>
      <c r="EN22" s="1302"/>
      <c r="EO22" s="1302"/>
      <c r="EP22" s="1302"/>
      <c r="EQ22" s="1302"/>
      <c r="ER22" s="1302"/>
      <c r="ES22" s="1302"/>
      <c r="ET22" s="1302"/>
      <c r="EU22" s="1446"/>
      <c r="EV22" s="1446"/>
      <c r="EW22" s="1302"/>
      <c r="EX22" s="1302"/>
      <c r="EY22" s="1302"/>
      <c r="EZ22" s="1302"/>
      <c r="FA22" s="1302"/>
      <c r="FB22" s="1302"/>
      <c r="FC22" s="1302"/>
      <c r="FD22" s="1302"/>
      <c r="FE22" s="1302"/>
      <c r="FF22" s="1446"/>
      <c r="FG22" s="1446"/>
      <c r="FH22" s="1302"/>
    </row>
    <row r="23" spans="1:168" ht="12" customHeight="1" thickTop="1">
      <c r="C23" s="73"/>
      <c r="D23" s="73"/>
      <c r="F23" s="563"/>
      <c r="G23" s="563"/>
      <c r="H23" s="563"/>
      <c r="I23" s="563"/>
      <c r="L23" s="563"/>
      <c r="M23" s="563"/>
      <c r="N23" s="563"/>
      <c r="O23" s="575"/>
      <c r="P23" s="575"/>
      <c r="Q23" s="563"/>
      <c r="R23" s="563"/>
      <c r="S23" s="564"/>
      <c r="T23" s="564"/>
      <c r="U23" s="563"/>
      <c r="V23" s="1114"/>
      <c r="W23" s="95"/>
      <c r="X23" s="619"/>
      <c r="Y23" s="627"/>
      <c r="Z23" s="563"/>
      <c r="AA23" s="564"/>
      <c r="AB23" s="563"/>
      <c r="AC23" s="563"/>
      <c r="AD23" s="563"/>
      <c r="AE23" s="563"/>
      <c r="AF23" s="563"/>
      <c r="AG23" s="563"/>
      <c r="AH23" s="563"/>
      <c r="AI23" s="563"/>
      <c r="AJ23" s="563"/>
      <c r="AK23" s="563"/>
      <c r="AL23" s="563"/>
      <c r="AM23" s="563"/>
      <c r="AN23" s="563"/>
      <c r="AO23" s="563"/>
      <c r="AP23" s="563"/>
      <c r="AQ23" s="563"/>
      <c r="AR23" s="563"/>
      <c r="AS23" s="563"/>
      <c r="AT23" s="563"/>
      <c r="AU23" s="563"/>
      <c r="AV23" s="563"/>
      <c r="AW23" s="563"/>
      <c r="AX23" s="563"/>
      <c r="AY23" s="563"/>
      <c r="AZ23" s="563"/>
      <c r="BA23" s="563"/>
      <c r="BB23" s="297"/>
      <c r="BC23" s="563"/>
      <c r="BD23" s="563"/>
      <c r="BE23" s="563"/>
      <c r="BF23" s="563"/>
      <c r="BG23" s="563"/>
      <c r="BH23" s="563"/>
      <c r="BI23" s="563"/>
      <c r="BJ23" s="1447"/>
      <c r="BK23" s="575"/>
      <c r="BL23" s="563" t="s">
        <v>425</v>
      </c>
      <c r="BM23" s="565"/>
      <c r="BN23" s="587"/>
      <c r="BO23" s="587"/>
      <c r="BP23" s="563"/>
      <c r="BQ23" s="563"/>
      <c r="BR23" s="563"/>
      <c r="BS23" s="563"/>
      <c r="BT23" s="566"/>
      <c r="BU23" s="563"/>
      <c r="BV23" s="563"/>
      <c r="BW23" s="563"/>
      <c r="BX23" s="563"/>
      <c r="BY23" s="619"/>
      <c r="BZ23" s="619"/>
      <c r="CA23" s="619"/>
      <c r="CB23" s="619"/>
      <c r="CC23" s="619"/>
      <c r="CD23" s="619"/>
      <c r="CE23" s="563"/>
      <c r="CF23" s="563"/>
      <c r="CG23" s="563"/>
      <c r="CH23" s="563"/>
      <c r="CI23" s="563"/>
      <c r="CJ23" s="563"/>
      <c r="CK23" s="563"/>
      <c r="CL23" s="563"/>
      <c r="CM23" s="563"/>
      <c r="CN23" s="563"/>
      <c r="CO23" s="563"/>
      <c r="CP23" s="563"/>
      <c r="CQ23" s="563"/>
      <c r="CR23" s="563"/>
      <c r="CS23" s="563"/>
      <c r="CT23" s="563"/>
      <c r="CU23" s="563"/>
      <c r="CV23" s="563"/>
      <c r="CW23" s="563"/>
      <c r="CX23" s="563"/>
      <c r="CY23" s="563"/>
      <c r="CZ23" s="563"/>
      <c r="DA23" s="563"/>
      <c r="DB23" s="563"/>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311"/>
      <c r="ED23" s="1311"/>
      <c r="EE23" s="1311"/>
      <c r="EF23" s="1311"/>
      <c r="EG23" s="1311"/>
      <c r="EH23" s="1311"/>
      <c r="EI23" s="1311"/>
      <c r="EJ23" s="1311"/>
      <c r="EK23" s="1311"/>
      <c r="EL23" s="1311"/>
      <c r="EM23" s="1311"/>
      <c r="EN23" s="1311"/>
      <c r="EO23" s="1311"/>
      <c r="EP23" s="1311"/>
      <c r="EQ23" s="1311"/>
      <c r="ER23" s="1311"/>
      <c r="ES23" s="1311"/>
      <c r="ET23" s="1311"/>
      <c r="EU23" s="1447"/>
      <c r="EV23" s="1447"/>
      <c r="EW23" s="1311"/>
      <c r="EX23" s="1311"/>
      <c r="EY23" s="1311"/>
      <c r="EZ23" s="1311"/>
      <c r="FA23" s="1311"/>
      <c r="FB23" s="1311"/>
      <c r="FC23" s="1311"/>
      <c r="FD23" s="1311"/>
      <c r="FE23" s="1311"/>
      <c r="FF23" s="1447"/>
      <c r="FG23" s="1447"/>
      <c r="FH23" s="1311"/>
    </row>
    <row r="24" spans="1:168" ht="14.25">
      <c r="C24" s="159"/>
      <c r="D24" s="517"/>
      <c r="E24" s="518"/>
      <c r="F24" s="567"/>
      <c r="G24" s="228"/>
      <c r="H24" s="568"/>
      <c r="I24" s="568"/>
      <c r="J24" s="143"/>
      <c r="K24" s="143"/>
      <c r="L24" s="568"/>
      <c r="M24" s="568"/>
      <c r="N24" s="568"/>
      <c r="O24" s="358"/>
      <c r="P24" s="358"/>
      <c r="Q24" s="568"/>
      <c r="R24" s="568"/>
      <c r="S24" s="347"/>
      <c r="T24" s="347"/>
      <c r="U24" s="568"/>
      <c r="V24" s="1111"/>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1249"/>
      <c r="BK24" s="358"/>
      <c r="BL24" s="347"/>
      <c r="BM24" s="477"/>
      <c r="BN24" s="588"/>
      <c r="BO24" s="588"/>
      <c r="BP24" s="568"/>
      <c r="BQ24" s="568"/>
      <c r="BR24" s="568"/>
      <c r="BS24" s="568"/>
      <c r="BT24" s="570"/>
      <c r="BU24" s="570"/>
      <c r="BV24" s="1106"/>
      <c r="BW24" s="568"/>
      <c r="BX24" s="568"/>
      <c r="BY24" s="294"/>
      <c r="BZ24" s="294"/>
      <c r="CA24" s="294"/>
      <c r="CB24" s="294"/>
      <c r="CC24" s="294"/>
      <c r="CD24" s="294"/>
      <c r="CE24" s="569"/>
      <c r="CF24" s="569"/>
      <c r="CG24" s="569"/>
      <c r="CH24" s="569"/>
      <c r="CI24" s="569"/>
      <c r="CJ24" s="569"/>
      <c r="CK24" s="569"/>
      <c r="CL24" s="569"/>
      <c r="CM24" s="569"/>
      <c r="CN24" s="569"/>
      <c r="CO24" s="569"/>
      <c r="CP24" s="569"/>
      <c r="CQ24" s="569"/>
      <c r="CR24" s="569"/>
      <c r="CS24" s="569"/>
      <c r="CT24" s="569"/>
      <c r="CU24" s="569"/>
      <c r="CV24" s="569"/>
      <c r="CW24" s="569"/>
      <c r="CX24" s="569"/>
      <c r="CY24" s="569"/>
      <c r="CZ24" s="569"/>
      <c r="DA24" s="569"/>
      <c r="DB24" s="569"/>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317"/>
      <c r="ED24" s="1317"/>
      <c r="EE24" s="1317"/>
      <c r="EF24" s="1317"/>
      <c r="EG24" s="1317"/>
      <c r="EH24" s="1317"/>
      <c r="EI24" s="1317"/>
      <c r="EJ24" s="1317"/>
      <c r="EK24" s="1317"/>
      <c r="EL24" s="1317"/>
      <c r="EM24" s="1317"/>
      <c r="EN24" s="1317"/>
      <c r="EO24" s="1317"/>
      <c r="EP24" s="1317"/>
      <c r="EQ24" s="1317"/>
      <c r="ER24" s="1317"/>
      <c r="ES24" s="1317"/>
      <c r="ET24" s="1317"/>
      <c r="EU24" s="1448"/>
      <c r="EV24" s="1448"/>
      <c r="EW24" s="1317"/>
      <c r="EX24" s="1317"/>
      <c r="EY24" s="1317"/>
      <c r="EZ24" s="1317"/>
      <c r="FA24" s="1317"/>
      <c r="FB24" s="1317"/>
      <c r="FC24" s="1317"/>
      <c r="FD24" s="1317"/>
      <c r="FE24" s="1317"/>
      <c r="FF24" s="1448"/>
      <c r="FG24" s="1448"/>
      <c r="FH24" s="1317"/>
    </row>
    <row r="25" spans="1:168" ht="14.25">
      <c r="C25" s="7"/>
      <c r="D25" s="520"/>
      <c r="E25" s="518"/>
      <c r="F25" s="567"/>
      <c r="G25" s="228"/>
      <c r="H25" s="568"/>
      <c r="I25" s="568"/>
      <c r="J25" s="143"/>
      <c r="K25" s="143"/>
      <c r="L25" s="568"/>
      <c r="M25" s="568"/>
      <c r="N25" s="568"/>
      <c r="O25" s="358"/>
      <c r="P25" s="358"/>
      <c r="Q25" s="568"/>
      <c r="R25" s="568"/>
      <c r="S25" s="347"/>
      <c r="T25" s="347"/>
      <c r="U25" s="568"/>
      <c r="V25" s="1111"/>
      <c r="W25" s="301"/>
      <c r="X25" s="294"/>
      <c r="Y25" s="333"/>
      <c r="Z25" s="358"/>
      <c r="AA25" s="347"/>
      <c r="AB25" s="568"/>
      <c r="AC25" s="569"/>
      <c r="AD25" s="569"/>
      <c r="AE25" s="569"/>
      <c r="AF25" s="297"/>
      <c r="AG25" s="297"/>
      <c r="AH25" s="297"/>
      <c r="AI25" s="297"/>
      <c r="AJ25" s="297"/>
      <c r="AK25" s="569"/>
      <c r="AL25" s="569"/>
      <c r="AM25" s="569"/>
      <c r="AN25" s="569"/>
      <c r="AO25" s="569"/>
      <c r="AP25" s="569"/>
      <c r="AQ25" s="569"/>
      <c r="AR25" s="569"/>
      <c r="AS25" s="568"/>
      <c r="AT25" s="568"/>
      <c r="AU25" s="568"/>
      <c r="AV25" s="568"/>
      <c r="AW25" s="568"/>
      <c r="AX25" s="568"/>
      <c r="AY25" s="568"/>
      <c r="AZ25" s="568"/>
      <c r="BA25" s="568"/>
      <c r="BB25" s="568"/>
      <c r="BC25" s="568"/>
      <c r="BD25" s="568"/>
      <c r="BE25" s="568"/>
      <c r="BF25" s="568"/>
      <c r="BG25" s="568"/>
      <c r="BH25" s="568"/>
      <c r="BI25" s="568"/>
      <c r="BJ25" s="1249"/>
      <c r="BK25" s="358"/>
      <c r="BL25" s="347"/>
      <c r="BM25" s="477"/>
      <c r="BN25" s="588"/>
      <c r="BO25" s="588"/>
      <c r="BP25" s="568"/>
      <c r="BQ25" s="568"/>
      <c r="BR25" s="568"/>
      <c r="BS25" s="568"/>
      <c r="BT25" s="570"/>
      <c r="BU25" s="570"/>
      <c r="BV25" s="1106"/>
      <c r="BW25" s="568"/>
      <c r="BX25" s="568"/>
      <c r="BY25" s="294"/>
      <c r="BZ25" s="294"/>
      <c r="CA25" s="294"/>
      <c r="CB25" s="294"/>
      <c r="CC25" s="294"/>
      <c r="CD25" s="294"/>
      <c r="CE25" s="569"/>
      <c r="CF25" s="569"/>
      <c r="CG25" s="569"/>
      <c r="CH25" s="569"/>
      <c r="CI25" s="569"/>
      <c r="CJ25" s="569"/>
      <c r="CK25" s="569"/>
      <c r="CL25" s="569"/>
      <c r="CM25" s="569"/>
      <c r="CN25" s="569"/>
      <c r="CO25" s="569"/>
      <c r="CP25" s="569"/>
      <c r="CQ25" s="569"/>
      <c r="CR25" s="569"/>
      <c r="CS25" s="569"/>
      <c r="CT25" s="569"/>
      <c r="CU25" s="569"/>
      <c r="CV25" s="569"/>
      <c r="CW25" s="569"/>
      <c r="CX25" s="569"/>
      <c r="CY25" s="569"/>
      <c r="CZ25" s="569"/>
      <c r="DA25" s="569"/>
      <c r="DB25" s="569"/>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317"/>
      <c r="ED25" s="1317"/>
      <c r="EE25" s="1317"/>
      <c r="EF25" s="1317"/>
      <c r="EG25" s="1317"/>
      <c r="EH25" s="1317"/>
      <c r="EI25" s="1317"/>
      <c r="EJ25" s="1317"/>
      <c r="EK25" s="1317"/>
      <c r="EL25" s="1317"/>
      <c r="EM25" s="1317"/>
      <c r="EN25" s="1317"/>
      <c r="EO25" s="1317"/>
      <c r="EP25" s="1317"/>
      <c r="EQ25" s="1317"/>
      <c r="ER25" s="1317"/>
      <c r="ES25" s="1317"/>
      <c r="ET25" s="1317"/>
      <c r="EU25" s="1448"/>
      <c r="EV25" s="1448"/>
      <c r="EW25" s="1317"/>
      <c r="EX25" s="1317"/>
      <c r="EY25" s="1317"/>
      <c r="EZ25" s="1317"/>
      <c r="FA25" s="1317"/>
      <c r="FB25" s="1317"/>
      <c r="FC25" s="1317"/>
      <c r="FD25" s="1317"/>
      <c r="FE25" s="1317"/>
      <c r="FF25" s="1448"/>
      <c r="FG25" s="1448"/>
      <c r="FH25" s="1317"/>
    </row>
    <row r="26" spans="1:168" ht="12.75" hidden="1" customHeight="1">
      <c r="C26" s="521" t="s">
        <v>263</v>
      </c>
      <c r="D26" s="520"/>
      <c r="E26" s="505">
        <f t="shared" ref="E26:AD26" si="13">E24+2*E25</f>
        <v>0</v>
      </c>
      <c r="F26" s="505">
        <f t="shared" si="13"/>
        <v>0</v>
      </c>
      <c r="G26" s="502">
        <f t="shared" si="13"/>
        <v>0</v>
      </c>
      <c r="H26" s="522">
        <f t="shared" si="13"/>
        <v>0</v>
      </c>
      <c r="I26" s="522">
        <f t="shared" si="13"/>
        <v>0</v>
      </c>
      <c r="J26" s="141">
        <f t="shared" si="13"/>
        <v>0</v>
      </c>
      <c r="K26" s="141">
        <f t="shared" si="13"/>
        <v>0</v>
      </c>
      <c r="L26" s="522">
        <f t="shared" si="13"/>
        <v>0</v>
      </c>
      <c r="M26" s="522">
        <f t="shared" si="13"/>
        <v>0</v>
      </c>
      <c r="N26" s="522">
        <f t="shared" si="13"/>
        <v>0</v>
      </c>
      <c r="O26" s="522">
        <f t="shared" si="13"/>
        <v>0</v>
      </c>
      <c r="P26" s="522">
        <f t="shared" si="13"/>
        <v>0</v>
      </c>
      <c r="Q26" s="522">
        <f t="shared" si="13"/>
        <v>0</v>
      </c>
      <c r="R26" s="522">
        <f t="shared" si="13"/>
        <v>0</v>
      </c>
      <c r="S26" s="523">
        <f t="shared" si="13"/>
        <v>0</v>
      </c>
      <c r="T26" s="523">
        <f t="shared" si="13"/>
        <v>0</v>
      </c>
      <c r="U26" s="522">
        <f t="shared" si="13"/>
        <v>0</v>
      </c>
      <c r="V26" s="612">
        <f t="shared" si="13"/>
        <v>0</v>
      </c>
      <c r="W26" s="615">
        <f t="shared" si="13"/>
        <v>0</v>
      </c>
      <c r="X26" s="612">
        <f t="shared" si="13"/>
        <v>0</v>
      </c>
      <c r="Y26" s="615">
        <f t="shared" si="13"/>
        <v>0</v>
      </c>
      <c r="Z26" s="502">
        <f t="shared" si="13"/>
        <v>0</v>
      </c>
      <c r="AA26" s="524">
        <f t="shared" si="13"/>
        <v>0</v>
      </c>
      <c r="AB26" s="502">
        <f t="shared" si="13"/>
        <v>0</v>
      </c>
      <c r="AC26" s="502">
        <f t="shared" si="13"/>
        <v>0</v>
      </c>
      <c r="AD26" s="502">
        <f t="shared" si="13"/>
        <v>0</v>
      </c>
      <c r="AE26" s="502"/>
      <c r="AF26" s="502">
        <f>AF24+2*AF25</f>
        <v>0</v>
      </c>
      <c r="AG26" s="502">
        <f>AG24+2*AG25</f>
        <v>0</v>
      </c>
      <c r="AH26" s="502">
        <f>AH24+2*AH25</f>
        <v>0</v>
      </c>
      <c r="AI26" s="502">
        <f>AI24+2*AI25</f>
        <v>0</v>
      </c>
      <c r="AJ26" s="502"/>
      <c r="AK26" s="502">
        <f t="shared" ref="AK26:BS26" si="14">AK24+2*AK25</f>
        <v>0</v>
      </c>
      <c r="AL26" s="502">
        <f t="shared" si="14"/>
        <v>0</v>
      </c>
      <c r="AM26" s="502">
        <f t="shared" si="14"/>
        <v>0</v>
      </c>
      <c r="AN26" s="502">
        <f t="shared" si="14"/>
        <v>0</v>
      </c>
      <c r="AO26" s="502">
        <f t="shared" si="14"/>
        <v>0</v>
      </c>
      <c r="AP26" s="502">
        <f t="shared" si="14"/>
        <v>0</v>
      </c>
      <c r="AQ26" s="502">
        <f t="shared" si="14"/>
        <v>0</v>
      </c>
      <c r="AR26" s="502">
        <f t="shared" si="14"/>
        <v>0</v>
      </c>
      <c r="AS26" s="502">
        <f t="shared" si="14"/>
        <v>0</v>
      </c>
      <c r="AT26" s="502">
        <f t="shared" si="14"/>
        <v>0</v>
      </c>
      <c r="AU26" s="502">
        <f t="shared" si="14"/>
        <v>0</v>
      </c>
      <c r="AV26" s="502">
        <f t="shared" si="14"/>
        <v>0</v>
      </c>
      <c r="AW26" s="502">
        <f t="shared" si="14"/>
        <v>0</v>
      </c>
      <c r="AX26" s="502">
        <f t="shared" si="14"/>
        <v>0</v>
      </c>
      <c r="AY26" s="502">
        <f t="shared" si="14"/>
        <v>0</v>
      </c>
      <c r="AZ26" s="502">
        <f t="shared" si="14"/>
        <v>0</v>
      </c>
      <c r="BA26" s="502">
        <f t="shared" si="14"/>
        <v>0</v>
      </c>
      <c r="BB26" s="502">
        <f t="shared" si="14"/>
        <v>0</v>
      </c>
      <c r="BC26" s="502">
        <f t="shared" si="14"/>
        <v>0</v>
      </c>
      <c r="BD26" s="502">
        <f t="shared" si="14"/>
        <v>0</v>
      </c>
      <c r="BE26" s="502">
        <f t="shared" si="14"/>
        <v>0</v>
      </c>
      <c r="BF26" s="502">
        <f t="shared" si="14"/>
        <v>0</v>
      </c>
      <c r="BG26" s="519">
        <f t="shared" si="14"/>
        <v>0</v>
      </c>
      <c r="BH26" s="519">
        <f t="shared" si="14"/>
        <v>0</v>
      </c>
      <c r="BI26" s="519">
        <f t="shared" si="14"/>
        <v>0</v>
      </c>
      <c r="BJ26" s="524">
        <f t="shared" si="14"/>
        <v>0</v>
      </c>
      <c r="BK26" s="576">
        <f t="shared" si="14"/>
        <v>0</v>
      </c>
      <c r="BL26" s="613">
        <f t="shared" si="14"/>
        <v>0</v>
      </c>
      <c r="BM26" s="613">
        <f t="shared" si="14"/>
        <v>0</v>
      </c>
      <c r="BN26" s="502">
        <f t="shared" si="14"/>
        <v>0</v>
      </c>
      <c r="BO26" s="502">
        <f t="shared" si="14"/>
        <v>0</v>
      </c>
      <c r="BP26" s="502">
        <f t="shared" si="14"/>
        <v>0</v>
      </c>
      <c r="BQ26" s="502">
        <f t="shared" si="14"/>
        <v>0</v>
      </c>
      <c r="BR26" s="502">
        <f t="shared" si="14"/>
        <v>0</v>
      </c>
      <c r="BS26" s="502">
        <f t="shared" si="14"/>
        <v>0</v>
      </c>
      <c r="BT26" s="502">
        <f>(BT24-ultimoDiaTrim)+2*BT25</f>
        <v>0</v>
      </c>
      <c r="BU26" s="502">
        <f>BU24+2*BU25</f>
        <v>0</v>
      </c>
      <c r="BV26" s="515">
        <f>BV24+2*BV25</f>
        <v>0</v>
      </c>
      <c r="BW26" s="522"/>
      <c r="BX26" s="522"/>
      <c r="BY26" s="612"/>
      <c r="BZ26" s="612"/>
      <c r="CA26" s="612"/>
      <c r="CB26" s="612"/>
      <c r="CC26" s="612"/>
      <c r="CD26" s="612"/>
      <c r="CE26" s="502"/>
      <c r="CF26" s="502"/>
      <c r="CG26" s="502"/>
      <c r="CH26" s="502"/>
      <c r="CI26" s="502"/>
      <c r="CJ26" s="502"/>
      <c r="CK26" s="502"/>
      <c r="CL26" s="502"/>
      <c r="CM26" s="502"/>
      <c r="CN26" s="502"/>
      <c r="CO26" s="502"/>
      <c r="CP26" s="502"/>
      <c r="CQ26" s="502"/>
      <c r="CR26" s="502"/>
      <c r="CS26" s="502"/>
      <c r="CT26" s="502"/>
      <c r="CU26" s="502"/>
      <c r="CV26" s="502"/>
      <c r="CW26" s="502"/>
      <c r="CX26" s="502"/>
      <c r="CY26" s="502"/>
      <c r="CZ26" s="502"/>
      <c r="DA26" s="502"/>
      <c r="DB26" s="502"/>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c r="EQ26" s="1277"/>
      <c r="ER26" s="1277"/>
      <c r="ES26" s="1277"/>
      <c r="ET26" s="1277"/>
      <c r="EU26" s="1277"/>
      <c r="EV26" s="1277"/>
      <c r="EW26" s="1277"/>
      <c r="EX26" s="1277"/>
      <c r="EY26" s="1277"/>
      <c r="EZ26" s="1277"/>
      <c r="FA26" s="1277"/>
      <c r="FB26" s="1277"/>
      <c r="FC26" s="1277"/>
      <c r="FD26" s="1277"/>
      <c r="FE26" s="1277"/>
      <c r="FF26" s="1277"/>
      <c r="FG26" s="1277"/>
      <c r="FH26" s="1277"/>
    </row>
    <row r="27" spans="1:168" ht="12.75" hidden="1" customHeight="1">
      <c r="C27" s="521" t="s">
        <v>264</v>
      </c>
      <c r="D27" s="520"/>
      <c r="E27" s="505">
        <f t="shared" ref="E27:AD27" si="15">MIN(0,E24-2*E25)</f>
        <v>0</v>
      </c>
      <c r="F27" s="505">
        <f t="shared" si="15"/>
        <v>0</v>
      </c>
      <c r="G27" s="502">
        <f t="shared" si="15"/>
        <v>0</v>
      </c>
      <c r="H27" s="502">
        <f t="shared" si="15"/>
        <v>0</v>
      </c>
      <c r="I27" s="502">
        <f t="shared" si="15"/>
        <v>0</v>
      </c>
      <c r="J27" s="142">
        <f t="shared" si="15"/>
        <v>0</v>
      </c>
      <c r="K27" s="142">
        <f t="shared" si="15"/>
        <v>0</v>
      </c>
      <c r="L27" s="502">
        <f t="shared" si="15"/>
        <v>0</v>
      </c>
      <c r="M27" s="502">
        <f t="shared" si="15"/>
        <v>0</v>
      </c>
      <c r="N27" s="502">
        <f t="shared" si="15"/>
        <v>0</v>
      </c>
      <c r="O27" s="502">
        <f t="shared" si="15"/>
        <v>0</v>
      </c>
      <c r="P27" s="502">
        <f t="shared" si="15"/>
        <v>0</v>
      </c>
      <c r="Q27" s="502">
        <f t="shared" si="15"/>
        <v>0</v>
      </c>
      <c r="R27" s="502">
        <f t="shared" si="15"/>
        <v>0</v>
      </c>
      <c r="S27" s="524">
        <f t="shared" si="15"/>
        <v>0</v>
      </c>
      <c r="T27" s="524">
        <f t="shared" si="15"/>
        <v>0</v>
      </c>
      <c r="U27" s="502">
        <f t="shared" si="15"/>
        <v>0</v>
      </c>
      <c r="V27" s="613">
        <f t="shared" si="15"/>
        <v>0</v>
      </c>
      <c r="W27" s="504">
        <f t="shared" si="15"/>
        <v>0</v>
      </c>
      <c r="X27" s="613">
        <f t="shared" si="15"/>
        <v>0</v>
      </c>
      <c r="Y27" s="504">
        <f t="shared" si="15"/>
        <v>0</v>
      </c>
      <c r="Z27" s="502">
        <f t="shared" si="15"/>
        <v>0</v>
      </c>
      <c r="AA27" s="524">
        <f t="shared" si="15"/>
        <v>0</v>
      </c>
      <c r="AB27" s="502">
        <f t="shared" si="15"/>
        <v>0</v>
      </c>
      <c r="AC27" s="502">
        <f t="shared" si="15"/>
        <v>0</v>
      </c>
      <c r="AD27" s="502">
        <f t="shared" si="15"/>
        <v>0</v>
      </c>
      <c r="AE27" s="502"/>
      <c r="AF27" s="502">
        <f>MIN(0,AF24-2*AF25)</f>
        <v>0</v>
      </c>
      <c r="AG27" s="502">
        <f>MIN(0,AG24-2*AG25)</f>
        <v>0</v>
      </c>
      <c r="AH27" s="502">
        <f>MIN(0,AH24-2*AH25)</f>
        <v>0</v>
      </c>
      <c r="AI27" s="502">
        <f>MIN(0,AI24-2*AI25)</f>
        <v>0</v>
      </c>
      <c r="AJ27" s="502"/>
      <c r="AK27" s="502">
        <f t="shared" ref="AK27:BS27" si="16">MIN(0,AK24-2*AK25)</f>
        <v>0</v>
      </c>
      <c r="AL27" s="502">
        <f t="shared" si="16"/>
        <v>0</v>
      </c>
      <c r="AM27" s="502">
        <f t="shared" si="16"/>
        <v>0</v>
      </c>
      <c r="AN27" s="502">
        <f t="shared" si="16"/>
        <v>0</v>
      </c>
      <c r="AO27" s="502">
        <f t="shared" si="16"/>
        <v>0</v>
      </c>
      <c r="AP27" s="502">
        <f t="shared" si="16"/>
        <v>0</v>
      </c>
      <c r="AQ27" s="502">
        <f t="shared" si="16"/>
        <v>0</v>
      </c>
      <c r="AR27" s="502">
        <f t="shared" si="16"/>
        <v>0</v>
      </c>
      <c r="AS27" s="502">
        <f t="shared" si="16"/>
        <v>0</v>
      </c>
      <c r="AT27" s="502">
        <f t="shared" si="16"/>
        <v>0</v>
      </c>
      <c r="AU27" s="502">
        <f t="shared" si="16"/>
        <v>0</v>
      </c>
      <c r="AV27" s="502">
        <f t="shared" si="16"/>
        <v>0</v>
      </c>
      <c r="AW27" s="502">
        <f t="shared" si="16"/>
        <v>0</v>
      </c>
      <c r="AX27" s="502">
        <f t="shared" si="16"/>
        <v>0</v>
      </c>
      <c r="AY27" s="502">
        <f t="shared" si="16"/>
        <v>0</v>
      </c>
      <c r="AZ27" s="502">
        <f t="shared" si="16"/>
        <v>0</v>
      </c>
      <c r="BA27" s="502">
        <f t="shared" si="16"/>
        <v>0</v>
      </c>
      <c r="BB27" s="502">
        <f t="shared" si="16"/>
        <v>0</v>
      </c>
      <c r="BC27" s="502">
        <f t="shared" si="16"/>
        <v>0</v>
      </c>
      <c r="BD27" s="502">
        <f t="shared" si="16"/>
        <v>0</v>
      </c>
      <c r="BE27" s="502">
        <f t="shared" si="16"/>
        <v>0</v>
      </c>
      <c r="BF27" s="502">
        <f t="shared" si="16"/>
        <v>0</v>
      </c>
      <c r="BG27" s="519">
        <f t="shared" si="16"/>
        <v>0</v>
      </c>
      <c r="BH27" s="519">
        <f t="shared" si="16"/>
        <v>0</v>
      </c>
      <c r="BI27" s="519">
        <f t="shared" si="16"/>
        <v>0</v>
      </c>
      <c r="BJ27" s="524">
        <f t="shared" si="16"/>
        <v>0</v>
      </c>
      <c r="BK27" s="576">
        <f t="shared" si="16"/>
        <v>0</v>
      </c>
      <c r="BL27" s="613">
        <f t="shared" si="16"/>
        <v>0</v>
      </c>
      <c r="BM27" s="613">
        <f t="shared" si="16"/>
        <v>0</v>
      </c>
      <c r="BN27" s="502">
        <f t="shared" si="16"/>
        <v>0</v>
      </c>
      <c r="BO27" s="502">
        <f t="shared" si="16"/>
        <v>0</v>
      </c>
      <c r="BP27" s="502">
        <f t="shared" si="16"/>
        <v>0</v>
      </c>
      <c r="BQ27" s="502">
        <f t="shared" si="16"/>
        <v>0</v>
      </c>
      <c r="BR27" s="502">
        <f t="shared" si="16"/>
        <v>0</v>
      </c>
      <c r="BS27" s="502">
        <f t="shared" si="16"/>
        <v>0</v>
      </c>
      <c r="BT27" s="502">
        <f>MIN(0,(BT24-ultimoDiaTrim)-2*BT25)</f>
        <v>0</v>
      </c>
      <c r="BU27" s="502">
        <f>BU25+2*BU26</f>
        <v>0</v>
      </c>
      <c r="BV27" s="515">
        <f>BV25+2*BV26</f>
        <v>0</v>
      </c>
      <c r="BW27" s="502"/>
      <c r="BX27" s="502"/>
      <c r="BY27" s="613"/>
      <c r="BZ27" s="613"/>
      <c r="CA27" s="613"/>
      <c r="CB27" s="613"/>
      <c r="CC27" s="613"/>
      <c r="CD27" s="613"/>
      <c r="CE27" s="502"/>
      <c r="CF27" s="502"/>
      <c r="CG27" s="502"/>
      <c r="CH27" s="502"/>
      <c r="CI27" s="502"/>
      <c r="CJ27" s="502"/>
      <c r="CK27" s="502"/>
      <c r="CL27" s="502"/>
      <c r="CM27" s="502"/>
      <c r="CN27" s="502"/>
      <c r="CO27" s="502"/>
      <c r="CP27" s="502"/>
      <c r="CQ27" s="502"/>
      <c r="CR27" s="502"/>
      <c r="CS27" s="502"/>
      <c r="CT27" s="502"/>
      <c r="CU27" s="502"/>
      <c r="CV27" s="502"/>
      <c r="CW27" s="502"/>
      <c r="CX27" s="502"/>
      <c r="CY27" s="502"/>
      <c r="CZ27" s="502"/>
      <c r="DA27" s="502"/>
      <c r="DB27" s="502"/>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c r="EQ27" s="1277"/>
      <c r="ER27" s="1277"/>
      <c r="ES27" s="1277"/>
      <c r="ET27" s="1277"/>
      <c r="EU27" s="1277"/>
      <c r="EV27" s="1277"/>
      <c r="EW27" s="1277"/>
      <c r="EX27" s="1277"/>
      <c r="EY27" s="1277"/>
      <c r="EZ27" s="1277"/>
      <c r="FA27" s="1277"/>
      <c r="FB27" s="1277"/>
      <c r="FC27" s="1277"/>
      <c r="FD27" s="1277"/>
      <c r="FE27" s="1277"/>
      <c r="FF27" s="1277"/>
      <c r="FG27" s="1277"/>
      <c r="FH27" s="1277"/>
    </row>
    <row r="28" spans="1:168">
      <c r="C28" s="71"/>
      <c r="D28" s="71"/>
    </row>
    <row r="31" spans="1:168">
      <c r="C31" s="470" t="str">
        <f>Criterios!A4</f>
        <v>Fecha Informe: 18 jun. 2026</v>
      </c>
    </row>
    <row r="33" spans="3:4">
      <c r="C33" s="526"/>
      <c r="D33" s="526"/>
    </row>
  </sheetData>
  <sheetProtection algorithmName="SHA-512" hashValue="I0LuXZ72PxDJFUcSOUNKBkdvr7K4OiQ5ueVcvFBxLRC8ogDhl7oZY3uUZxXuYzN2HhrAL5ECjeLg0avrRD0yxQ==" saltValue="aBwr1UEGtLpu0sRjxEcMWA==" spinCount="100000" sheet="1" objects="1" scenarios="1"/>
  <mergeCells count="163">
    <mergeCell ref="CK5:CK7"/>
    <mergeCell ref="CA5:CA7"/>
    <mergeCell ref="CE5:CE7"/>
    <mergeCell ref="CF5:CF7"/>
    <mergeCell ref="CG5:CG7"/>
    <mergeCell ref="AD5:AD7"/>
    <mergeCell ref="CB5:CB7"/>
    <mergeCell ref="CC5:CC7"/>
    <mergeCell ref="CD5:CD7"/>
    <mergeCell ref="CH5:CH7"/>
    <mergeCell ref="AH5:AH7"/>
    <mergeCell ref="AI5:AI7"/>
    <mergeCell ref="AK5:AK7"/>
    <mergeCell ref="AL5:AL7"/>
    <mergeCell ref="BT5:BT7"/>
    <mergeCell ref="AM5:AM7"/>
    <mergeCell ref="AN5:AN7"/>
    <mergeCell ref="AO5:AO7"/>
    <mergeCell ref="BS5:BS7"/>
    <mergeCell ref="BQ5:BQ7"/>
    <mergeCell ref="BP5:BP7"/>
    <mergeCell ref="BR5:BR7"/>
    <mergeCell ref="BY5:BY7"/>
    <mergeCell ref="BX5:BX7"/>
    <mergeCell ref="BW5:BW7"/>
    <mergeCell ref="BZ5:BZ7"/>
    <mergeCell ref="AJ5:AJ7"/>
    <mergeCell ref="BV5:BV7"/>
    <mergeCell ref="AS5:AS7"/>
    <mergeCell ref="CI5:CI7"/>
    <mergeCell ref="CJ5:CJ7"/>
    <mergeCell ref="BU5:BU7"/>
    <mergeCell ref="BF5:BF7"/>
    <mergeCell ref="BG5:BG7"/>
    <mergeCell ref="BH5:BH7"/>
    <mergeCell ref="BJ5:BJ7"/>
    <mergeCell ref="BL5:BL7"/>
    <mergeCell ref="BM5:BM7"/>
    <mergeCell ref="AR5:AR7"/>
    <mergeCell ref="BE5:BE7"/>
    <mergeCell ref="AT5:AT7"/>
    <mergeCell ref="AU5:AU7"/>
    <mergeCell ref="BK5:BK7"/>
    <mergeCell ref="BI5:BI7"/>
    <mergeCell ref="BN5:BN7"/>
    <mergeCell ref="BO5:BO7"/>
    <mergeCell ref="BD5:BD7"/>
    <mergeCell ref="A5:A7"/>
    <mergeCell ref="C5:C6"/>
    <mergeCell ref="D5:D7"/>
    <mergeCell ref="E5:E7"/>
    <mergeCell ref="F5:F7"/>
    <mergeCell ref="G5:G7"/>
    <mergeCell ref="I5:I7"/>
    <mergeCell ref="L5:L7"/>
    <mergeCell ref="J5:J7"/>
    <mergeCell ref="K5:K7"/>
    <mergeCell ref="H5:H7"/>
    <mergeCell ref="Y5:Y7"/>
    <mergeCell ref="AV5:AV7"/>
    <mergeCell ref="AW5:AW7"/>
    <mergeCell ref="AX5:AX7"/>
    <mergeCell ref="AY5:AY7"/>
    <mergeCell ref="AZ5:AZ7"/>
    <mergeCell ref="BA5:BA7"/>
    <mergeCell ref="BB5:BB7"/>
    <mergeCell ref="BC5:BC7"/>
    <mergeCell ref="Z5:Z7"/>
    <mergeCell ref="AA5:AA7"/>
    <mergeCell ref="AE5:AE7"/>
    <mergeCell ref="AB5:AB7"/>
    <mergeCell ref="AC5:AC7"/>
    <mergeCell ref="AF5:AF7"/>
    <mergeCell ref="AG5:AG7"/>
    <mergeCell ref="AP5:AP7"/>
    <mergeCell ref="AQ5:AQ7"/>
    <mergeCell ref="X5:X7"/>
    <mergeCell ref="M5:M7"/>
    <mergeCell ref="Q5:Q7"/>
    <mergeCell ref="O5:O7"/>
    <mergeCell ref="P5:P7"/>
    <mergeCell ref="R5:R7"/>
    <mergeCell ref="U5:U7"/>
    <mergeCell ref="V5:V7"/>
    <mergeCell ref="S5:S7"/>
    <mergeCell ref="T5:T7"/>
    <mergeCell ref="W5:W7"/>
    <mergeCell ref="N5:N7"/>
    <mergeCell ref="CZ5:CZ7"/>
    <mergeCell ref="DA5:DA7"/>
    <mergeCell ref="DB5:DB7"/>
    <mergeCell ref="CU5:CU7"/>
    <mergeCell ref="CV5:CV7"/>
    <mergeCell ref="CW5:CW7"/>
    <mergeCell ref="CX5:CX7"/>
    <mergeCell ref="CY5:CY7"/>
    <mergeCell ref="CL5:CL7"/>
    <mergeCell ref="CM5:CM7"/>
    <mergeCell ref="CN5:CN7"/>
    <mergeCell ref="CO5:CO7"/>
    <mergeCell ref="CP5:CP7"/>
    <mergeCell ref="CQ5:CQ7"/>
    <mergeCell ref="CR5:CR7"/>
    <mergeCell ref="CS5:CS7"/>
    <mergeCell ref="CT5:CT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DS5:DS7"/>
    <mergeCell ref="DT5:DT7"/>
    <mergeCell ref="DU5:DU7"/>
    <mergeCell ref="DV5:DV7"/>
    <mergeCell ref="DW5:DW7"/>
    <mergeCell ref="DX5:DX7"/>
    <mergeCell ref="DY5:DY7"/>
    <mergeCell ref="DZ5:DZ7"/>
    <mergeCell ref="EA5:EA7"/>
    <mergeCell ref="EB5:EB7"/>
    <mergeCell ref="EC5:EC7"/>
    <mergeCell ref="ED5:ED7"/>
    <mergeCell ref="EE5:EE7"/>
    <mergeCell ref="EF5:EF7"/>
    <mergeCell ref="EG5:EG7"/>
    <mergeCell ref="EH5:EH7"/>
    <mergeCell ref="EI5:EI7"/>
    <mergeCell ref="EJ5:EJ7"/>
    <mergeCell ref="EK5:EK7"/>
    <mergeCell ref="EL5:EL7"/>
    <mergeCell ref="FF5:FF7"/>
    <mergeCell ref="FG5:FG7"/>
    <mergeCell ref="FH5:FH7"/>
    <mergeCell ref="EM5:EM7"/>
    <mergeCell ref="EN5:EN7"/>
    <mergeCell ref="EO5:EO7"/>
    <mergeCell ref="EP5:EP7"/>
    <mergeCell ref="EQ5:EQ7"/>
    <mergeCell ref="ER5:ER7"/>
    <mergeCell ref="ES5:ES7"/>
    <mergeCell ref="ET5:ET7"/>
    <mergeCell ref="FE5:FE7"/>
    <mergeCell ref="FB5:FB7"/>
    <mergeCell ref="EV5:EV7"/>
    <mergeCell ref="EW5:EW7"/>
    <mergeCell ref="EU5:EU7"/>
    <mergeCell ref="EX5:EX7"/>
    <mergeCell ref="EY5:EY7"/>
    <mergeCell ref="EZ5:EZ7"/>
    <mergeCell ref="FA5:FA7"/>
    <mergeCell ref="FC5:FC7"/>
    <mergeCell ref="FD5:FD7"/>
  </mergeCells>
  <conditionalFormatting sqref="E15:E18 E9:E12">
    <cfRule type="cellIs" dxfId="133" priority="705" stopIfTrue="1" operator="notBetween">
      <formula>$E$26</formula>
      <formula>$E$27</formula>
    </cfRule>
  </conditionalFormatting>
  <conditionalFormatting sqref="F9:F12 F15:F18">
    <cfRule type="expression" dxfId="132" priority="1109" stopIfTrue="1">
      <formula>IF(F9&lt;&gt;G9,TRUE,FALSE)</formula>
    </cfRule>
  </conditionalFormatting>
  <conditionalFormatting sqref="F9:F12 F15:F18">
    <cfRule type="cellIs" dxfId="131" priority="704" stopIfTrue="1" operator="notBetween">
      <formula>$F$26</formula>
      <formula>$F$27</formula>
    </cfRule>
  </conditionalFormatting>
  <conditionalFormatting sqref="G10 G15:G18">
    <cfRule type="cellIs" dxfId="130" priority="1110" stopIfTrue="1" operator="notBetween">
      <formula>$G$26</formula>
      <formula>$G$27</formula>
    </cfRule>
  </conditionalFormatting>
  <conditionalFormatting sqref="H15:H18 H9:H12 BW9:FH12 BW15:FH18">
    <cfRule type="cellIs" dxfId="129" priority="854" stopIfTrue="1" operator="notBetween">
      <formula>$H$26</formula>
      <formula>$H$27</formula>
    </cfRule>
  </conditionalFormatting>
  <conditionalFormatting sqref="I9:I12 I15:I18">
    <cfRule type="expression" dxfId="128" priority="3153">
      <formula>I9&gt;BY9*CA9</formula>
    </cfRule>
  </conditionalFormatting>
  <conditionalFormatting sqref="Y9:Y12 Y15:Y18">
    <cfRule type="expression" dxfId="127" priority="363">
      <formula>Y9&gt;CB9*CD9</formula>
    </cfRule>
  </conditionalFormatting>
  <conditionalFormatting sqref="AA9:AA12 AA15:AA18">
    <cfRule type="expression" dxfId="126" priority="13">
      <formula>AA9&lt;FF9*FH9</formula>
    </cfRule>
  </conditionalFormatting>
  <conditionalFormatting sqref="AA10">
    <cfRule type="expression" dxfId="125" priority="11">
      <formula>AA10&gt;CD10*CF10</formula>
    </cfRule>
    <cfRule type="cellIs" dxfId="124" priority="12" stopIfTrue="1" operator="notBetween">
      <formula>$Y$26</formula>
      <formula>$Y$27</formula>
    </cfRule>
  </conditionalFormatting>
  <conditionalFormatting sqref="AB9:AB12 AB15:AB18">
    <cfRule type="expression" dxfId="123" priority="3408">
      <formula>AB9&lt;CF9*CG9</formula>
    </cfRule>
  </conditionalFormatting>
  <conditionalFormatting sqref="AC9:AC12 AC15:AC18">
    <cfRule type="expression" dxfId="122" priority="357">
      <formula>AC9&lt;CI9*CJ9</formula>
    </cfRule>
  </conditionalFormatting>
  <conditionalFormatting sqref="AD9:AD12 AD15:AD18">
    <cfRule type="expression" dxfId="121" priority="351">
      <formula>AD9&lt;CL9*CM9</formula>
    </cfRule>
  </conditionalFormatting>
  <conditionalFormatting sqref="AE9:AE12 AE15:AE18">
    <cfRule type="expression" dxfId="120" priority="345">
      <formula>AE9&lt;CO9*CP9</formula>
    </cfRule>
  </conditionalFormatting>
  <conditionalFormatting sqref="AF9:AF12 AF15:AF18">
    <cfRule type="expression" dxfId="119" priority="3657">
      <formula>(AF9&gt;CQ9*CT9)</formula>
    </cfRule>
    <cfRule type="expression" dxfId="118" priority="3658">
      <formula>(AF9&gt;CR9*CS9)</formula>
    </cfRule>
    <cfRule type="expression" dxfId="117" priority="3659">
      <formula>(AF9&gt;CQ9*CS9)</formula>
    </cfRule>
  </conditionalFormatting>
  <conditionalFormatting sqref="AH9:AH12 AH15:AH18">
    <cfRule type="expression" dxfId="116" priority="337">
      <formula>(AH9&gt;CU9*CX9)</formula>
    </cfRule>
    <cfRule type="expression" dxfId="115" priority="338">
      <formula>(AH9&gt;CV9*CW9)</formula>
    </cfRule>
    <cfRule type="expression" dxfId="114" priority="339">
      <formula>(AH9&gt;CU9*CW9)</formula>
    </cfRule>
  </conditionalFormatting>
  <conditionalFormatting sqref="AI9:AI12 AI15:AI18">
    <cfRule type="expression" dxfId="113" priority="319">
      <formula>(AI9&gt;CY9*DB9)</formula>
    </cfRule>
    <cfRule type="expression" dxfId="112" priority="320">
      <formula>(AI9&gt;CZ9*DA9)</formula>
    </cfRule>
    <cfRule type="expression" dxfId="111" priority="321">
      <formula>(AI9&gt;CY9*DA9)</formula>
    </cfRule>
  </conditionalFormatting>
  <conditionalFormatting sqref="AJ9:AJ12 AJ15:AJ18">
    <cfRule type="expression" dxfId="110" priority="301">
      <formula>(AJ9&gt;DC9*DF9)</formula>
    </cfRule>
    <cfRule type="expression" dxfId="109" priority="302">
      <formula>(AJ9&gt;DD9*DE9)</formula>
    </cfRule>
    <cfRule type="expression" dxfId="108" priority="303">
      <formula>(AJ9&gt;DC9*DE9)</formula>
    </cfRule>
  </conditionalFormatting>
  <conditionalFormatting sqref="AM9:AM12 AU9:AU12 AU15:AU18">
    <cfRule type="expression" dxfId="107" priority="283">
      <formula>(AM9&gt;DG9*DJ9)</formula>
    </cfRule>
    <cfRule type="expression" dxfId="106" priority="284">
      <formula>(AM9&gt;DH9*DI9)</formula>
    </cfRule>
    <cfRule type="expression" dxfId="105" priority="285">
      <formula>(AM9&gt;DG9*DI9)</formula>
    </cfRule>
  </conditionalFormatting>
  <conditionalFormatting sqref="AM14">
    <cfRule type="expression" dxfId="104" priority="280">
      <formula>(AM14&gt;DG*DJ14)</formula>
    </cfRule>
  </conditionalFormatting>
  <conditionalFormatting sqref="AM14:AM18">
    <cfRule type="expression" dxfId="103" priority="43">
      <formula>(AM14&gt;DH14*DI14)</formula>
    </cfRule>
    <cfRule type="expression" dxfId="102" priority="44">
      <formula>(AM14&gt;DG14*DI14)</formula>
    </cfRule>
  </conditionalFormatting>
  <conditionalFormatting sqref="AM15:AM18">
    <cfRule type="expression" dxfId="101" priority="42">
      <formula>(AM15&gt;DG15*DJ15)</formula>
    </cfRule>
  </conditionalFormatting>
  <conditionalFormatting sqref="AT9:AT12 AT15:AT18">
    <cfRule type="expression" dxfId="100" priority="265">
      <formula>(AT9&gt;DK9*DN9)</formula>
    </cfRule>
    <cfRule type="expression" dxfId="99" priority="266">
      <formula>(AT9&gt;DL9*DM9)</formula>
    </cfRule>
    <cfRule type="expression" dxfId="98" priority="267">
      <formula>(AT9&gt;DK9*DM9)</formula>
    </cfRule>
  </conditionalFormatting>
  <conditionalFormatting sqref="AV9:AV12 AV15:AV18">
    <cfRule type="expression" dxfId="97" priority="214">
      <formula>(AV9&gt;DS9*DV9)</formula>
    </cfRule>
    <cfRule type="expression" dxfId="96" priority="215">
      <formula>(AV9&gt;DT9*DU9)</formula>
    </cfRule>
    <cfRule type="expression" dxfId="95" priority="216">
      <formula>(AV9&gt;DS9*DU9)</formula>
    </cfRule>
  </conditionalFormatting>
  <conditionalFormatting sqref="AX9:AX12 AX15:AX18">
    <cfRule type="expression" dxfId="94" priority="211">
      <formula>(AX9&gt;DW9*DZ9)</formula>
    </cfRule>
    <cfRule type="expression" dxfId="93" priority="212">
      <formula>(AX9&gt;DX9*DY9)</formula>
    </cfRule>
    <cfRule type="expression" dxfId="92" priority="213">
      <formula>(AX9&gt;DW9*DY9)</formula>
    </cfRule>
  </conditionalFormatting>
  <conditionalFormatting sqref="AY9:AY12 AY15:AY18">
    <cfRule type="expression" dxfId="91" priority="177">
      <formula>(AY9&gt;EA9*ED9)</formula>
    </cfRule>
    <cfRule type="expression" dxfId="90" priority="178">
      <formula>(AY9&gt;EB9*EC9)</formula>
    </cfRule>
    <cfRule type="expression" dxfId="89" priority="179">
      <formula>(AY9&gt;EA9*EC9)</formula>
    </cfRule>
  </conditionalFormatting>
  <conditionalFormatting sqref="AZ9:AZ12 AZ15:AZ18">
    <cfRule type="expression" dxfId="88" priority="159">
      <formula>(AZ9&gt;EE9*EH9)</formula>
    </cfRule>
    <cfRule type="expression" dxfId="87" priority="160">
      <formula>(AZ9&gt;EF9*EG9)</formula>
    </cfRule>
    <cfRule type="expression" dxfId="86" priority="161">
      <formula>(AZ9&gt;EE9*EG9)</formula>
    </cfRule>
  </conditionalFormatting>
  <conditionalFormatting sqref="BE9:BE12 BE15:BE18">
    <cfRule type="expression" dxfId="85" priority="141">
      <formula>(BE9&gt;EI9*EL9)</formula>
    </cfRule>
    <cfRule type="expression" dxfId="84" priority="142">
      <formula>(BE9&gt;EJ9*EK9)</formula>
    </cfRule>
    <cfRule type="expression" dxfId="83" priority="143">
      <formula>(BE9&gt;EI9*EK9)</formula>
    </cfRule>
  </conditionalFormatting>
  <conditionalFormatting sqref="BF9:BF12 BF15:BF18">
    <cfRule type="expression" dxfId="82" priority="123">
      <formula>(BF9&gt;EM9*EP9)</formula>
    </cfRule>
    <cfRule type="expression" dxfId="81" priority="124">
      <formula>(BF9&gt;EN9*EO9)</formula>
    </cfRule>
    <cfRule type="expression" dxfId="80" priority="125">
      <formula>(BF9&gt;EM9*EO9)</formula>
    </cfRule>
  </conditionalFormatting>
  <conditionalFormatting sqref="BH9:BH12 BH15:BH18">
    <cfRule type="expression" dxfId="79" priority="106">
      <formula>(BH9&gt;ER9*ES9)</formula>
    </cfRule>
    <cfRule type="expression" dxfId="78" priority="107">
      <formula>(BH9&gt;EQ9*ES9)</formula>
    </cfRule>
  </conditionalFormatting>
  <conditionalFormatting sqref="BJ9:BJ12 BJ15:BJ18">
    <cfRule type="expression" dxfId="77" priority="80">
      <formula>(BJ9&gt;EV9*EW9)</formula>
    </cfRule>
  </conditionalFormatting>
  <conditionalFormatting sqref="BP9:BP12 BP15:BP18">
    <cfRule type="expression" dxfId="76" priority="72">
      <formula>(BP9&gt;EX9*FA9)</formula>
    </cfRule>
    <cfRule type="expression" dxfId="75" priority="73">
      <formula>(BP9&gt;EY9*EZ9)</formula>
    </cfRule>
    <cfRule type="expression" dxfId="74" priority="74">
      <formula>(BP9&gt;EX9*EZ9)</formula>
    </cfRule>
  </conditionalFormatting>
  <conditionalFormatting sqref="BQ9:BQ12 BQ15:BQ18">
    <cfRule type="expression" dxfId="73" priority="53">
      <formula>(BQ9&gt;FB9*FE9)</formula>
    </cfRule>
    <cfRule type="expression" dxfId="72" priority="54">
      <formula>(BQ9&gt;FC9*FD9)</formula>
    </cfRule>
    <cfRule type="expression" dxfId="71" priority="55">
      <formula>(BQ9&gt;FB9*FD9)</formula>
    </cfRule>
  </conditionalFormatting>
  <conditionalFormatting sqref="BT9:BT12">
    <cfRule type="expression" dxfId="70" priority="52">
      <formula>(BT9&gt;ULTIMODIA)</formula>
    </cfRule>
  </conditionalFormatting>
  <conditionalFormatting sqref="BT15:BT18">
    <cfRule type="expression" dxfId="69" priority="49">
      <formula>(BT15&gt;ULTIMODIA)</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EP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hidden="1" customWidth="1"/>
    <col min="6" max="6" width="15.85546875" style="642" hidden="1" customWidth="1"/>
    <col min="7" max="7" width="13.5703125" style="642" hidden="1" customWidth="1"/>
    <col min="8" max="8" width="14.28515625" style="642" hidden="1"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470" customWidth="1"/>
    <col min="54" max="54" width="14.85546875" style="642" customWidth="1"/>
    <col min="55" max="55" width="14.85546875" style="642" hidden="1" customWidth="1"/>
    <col min="56" max="57" width="14.28515625" customWidth="1"/>
    <col min="58" max="60" width="13" customWidth="1"/>
    <col min="61" max="61" width="11.5703125" customWidth="1"/>
    <col min="62" max="62" width="11.42578125" style="642" customWidth="1"/>
    <col min="63" max="74" width="11.42578125" style="642"/>
    <col min="75" max="76" width="14.28515625" style="1253" hidden="1" customWidth="1"/>
    <col min="77" max="82" width="13" style="1253" hidden="1" customWidth="1"/>
    <col min="83" max="146" width="14.85546875" style="1253" hidden="1" customWidth="1"/>
    <col min="147" max="16384" width="11.42578125" style="642"/>
  </cols>
  <sheetData>
    <row r="1" spans="1:146">
      <c r="C1" s="641" t="str">
        <f>Criterios!A9 &amp;"  "&amp;Criterios!B9</f>
        <v>Tribunales de Justicia  ANDALUCIA</v>
      </c>
    </row>
    <row r="2" spans="1:146" ht="16.5" customHeight="1">
      <c r="C2" s="487" t="str">
        <f>Criterios!A10 &amp;"  "&amp;Criterios!B10 &amp; "  " &amp; IF(NOT(ISBLANK(Criterios!A11)),Criterios!A11 &amp;"  "&amp;Criterios!B11,"")</f>
        <v>Provincias  CADIZ  Resumenes por Partidos Judiciales  SAN ROQUE</v>
      </c>
      <c r="D2" s="641"/>
      <c r="E2" s="646"/>
      <c r="F2" s="646"/>
      <c r="G2" s="647"/>
      <c r="I2" s="646"/>
      <c r="J2" s="648"/>
      <c r="K2" s="646"/>
      <c r="L2" s="646"/>
      <c r="M2" s="649"/>
      <c r="N2" s="649"/>
      <c r="O2" s="646"/>
      <c r="S2" s="646"/>
      <c r="T2" s="650"/>
    </row>
    <row r="3" spans="1:146" ht="21.75" customHeight="1">
      <c r="C3" s="1456" t="s">
        <v>997</v>
      </c>
      <c r="D3" s="652"/>
      <c r="G3" s="647"/>
      <c r="I3" s="646"/>
    </row>
    <row r="4" spans="1:146" ht="16.5" customHeight="1" thickBot="1">
      <c r="C4" s="611"/>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494"/>
      <c r="BB4" s="654"/>
      <c r="BC4" s="654"/>
      <c r="BW4" s="1269"/>
      <c r="BX4" s="1269"/>
      <c r="CE4" s="1269"/>
      <c r="CF4" s="1269"/>
      <c r="CG4" s="1269"/>
      <c r="CH4" s="1269"/>
      <c r="CI4" s="1269"/>
      <c r="CJ4" s="1269"/>
      <c r="CK4" s="1269"/>
      <c r="CL4" s="1269"/>
      <c r="CM4" s="1269"/>
      <c r="CN4" s="1269"/>
      <c r="CO4" s="1269"/>
      <c r="CP4" s="1269"/>
      <c r="CQ4" s="1269"/>
      <c r="CR4" s="1269"/>
      <c r="CS4" s="1269"/>
      <c r="CT4" s="1269"/>
      <c r="CU4" s="1269"/>
      <c r="CV4" s="1269"/>
      <c r="CW4" s="1269"/>
      <c r="CX4" s="1269"/>
      <c r="CY4" s="1269"/>
      <c r="CZ4" s="1269"/>
      <c r="DA4" s="1269"/>
      <c r="DB4" s="1269"/>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row>
    <row r="5" spans="1:146" ht="15.75" customHeight="1">
      <c r="A5" s="1542" t="s">
        <v>352</v>
      </c>
      <c r="B5" s="271"/>
      <c r="C5" s="1542"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54" t="s">
        <v>556</v>
      </c>
      <c r="Y5" s="1857" t="s">
        <v>557</v>
      </c>
      <c r="Z5" s="1857" t="s">
        <v>558</v>
      </c>
      <c r="AA5" s="1848" t="s">
        <v>672</v>
      </c>
      <c r="AB5" s="1848" t="s">
        <v>677</v>
      </c>
      <c r="AC5" s="1774" t="s">
        <v>183</v>
      </c>
      <c r="AD5" s="1860" t="s">
        <v>181</v>
      </c>
      <c r="AE5" s="1848" t="s">
        <v>673</v>
      </c>
      <c r="AF5" s="1845" t="s">
        <v>674</v>
      </c>
      <c r="AG5" s="1777" t="s">
        <v>531</v>
      </c>
      <c r="AH5" s="1848" t="s">
        <v>532</v>
      </c>
      <c r="AI5" s="1848" t="s">
        <v>603</v>
      </c>
      <c r="AJ5" s="1851" t="s">
        <v>604</v>
      </c>
      <c r="AK5" s="1777" t="s">
        <v>184</v>
      </c>
      <c r="AL5" s="1774" t="s">
        <v>562</v>
      </c>
      <c r="AM5" s="1848" t="s">
        <v>248</v>
      </c>
      <c r="AN5" s="1848" t="s">
        <v>249</v>
      </c>
      <c r="AO5" s="1774" t="s">
        <v>250</v>
      </c>
      <c r="AP5" s="1848" t="s">
        <v>563</v>
      </c>
      <c r="AQ5" s="1774" t="s">
        <v>251</v>
      </c>
      <c r="AR5" s="1848" t="s">
        <v>564</v>
      </c>
      <c r="AS5" s="1774" t="s">
        <v>565</v>
      </c>
      <c r="AT5" s="1774" t="s">
        <v>566</v>
      </c>
      <c r="AU5" s="1774" t="s">
        <v>591</v>
      </c>
      <c r="AV5" s="1774" t="s">
        <v>584</v>
      </c>
      <c r="AW5" s="1848" t="s">
        <v>795</v>
      </c>
      <c r="AX5" s="1848" t="s">
        <v>798</v>
      </c>
      <c r="AY5" s="1774" t="s">
        <v>800</v>
      </c>
      <c r="AZ5" s="1774" t="s">
        <v>585</v>
      </c>
      <c r="BA5" s="1774" t="s">
        <v>816</v>
      </c>
      <c r="BB5" s="1848" t="s">
        <v>567</v>
      </c>
      <c r="BC5" s="1774" t="s">
        <v>530</v>
      </c>
      <c r="BW5" s="1774" t="s">
        <v>124</v>
      </c>
      <c r="BX5" s="1774" t="s">
        <v>125</v>
      </c>
      <c r="BY5" s="1774" t="s">
        <v>904</v>
      </c>
      <c r="BZ5" s="1774" t="s">
        <v>905</v>
      </c>
      <c r="CA5" s="1774" t="s">
        <v>906</v>
      </c>
      <c r="CB5" s="1863" t="s">
        <v>992</v>
      </c>
      <c r="CC5" s="1863" t="s">
        <v>993</v>
      </c>
      <c r="CD5" s="1863" t="s">
        <v>994</v>
      </c>
      <c r="CE5" s="1774" t="s">
        <v>912</v>
      </c>
      <c r="CF5" s="1774" t="s">
        <v>913</v>
      </c>
      <c r="CG5" s="1774" t="s">
        <v>907</v>
      </c>
      <c r="CH5" s="1839" t="s">
        <v>917</v>
      </c>
      <c r="CI5" s="1839" t="s">
        <v>918</v>
      </c>
      <c r="CJ5" s="1839" t="s">
        <v>919</v>
      </c>
      <c r="CK5" s="1774" t="s">
        <v>908</v>
      </c>
      <c r="CL5" s="1774" t="s">
        <v>909</v>
      </c>
      <c r="CM5" s="1774" t="s">
        <v>910</v>
      </c>
      <c r="CN5" s="1774" t="s">
        <v>911</v>
      </c>
      <c r="CO5" s="1774" t="s">
        <v>938</v>
      </c>
      <c r="CP5" s="1774" t="s">
        <v>939</v>
      </c>
      <c r="CQ5" s="1774" t="s">
        <v>940</v>
      </c>
      <c r="CR5" s="1774" t="s">
        <v>941</v>
      </c>
      <c r="CS5" s="1839" t="s">
        <v>942</v>
      </c>
      <c r="CT5" s="1839" t="s">
        <v>943</v>
      </c>
      <c r="CU5" s="1839" t="s">
        <v>944</v>
      </c>
      <c r="CV5" s="1839" t="s">
        <v>945</v>
      </c>
      <c r="CW5" s="1774" t="s">
        <v>946</v>
      </c>
      <c r="CX5" s="1774" t="s">
        <v>947</v>
      </c>
      <c r="CY5" s="1774" t="s">
        <v>948</v>
      </c>
      <c r="CZ5" s="1774" t="s">
        <v>949</v>
      </c>
      <c r="DA5" s="1839" t="s">
        <v>950</v>
      </c>
      <c r="DB5" s="1839" t="s">
        <v>951</v>
      </c>
      <c r="DC5" s="1839" t="s">
        <v>952</v>
      </c>
      <c r="DD5" s="1839" t="s">
        <v>953</v>
      </c>
      <c r="DE5" s="1774" t="s">
        <v>954</v>
      </c>
      <c r="DF5" s="1774" t="s">
        <v>955</v>
      </c>
      <c r="DG5" s="1774" t="s">
        <v>956</v>
      </c>
      <c r="DH5" s="1774" t="s">
        <v>957</v>
      </c>
      <c r="DI5" s="1839" t="s">
        <v>958</v>
      </c>
      <c r="DJ5" s="1839" t="s">
        <v>959</v>
      </c>
      <c r="DK5" s="1839" t="s">
        <v>960</v>
      </c>
      <c r="DL5" s="1839" t="s">
        <v>961</v>
      </c>
      <c r="DM5" s="1774" t="s">
        <v>962</v>
      </c>
      <c r="DN5" s="1774" t="s">
        <v>963</v>
      </c>
      <c r="DO5" s="1774" t="s">
        <v>964</v>
      </c>
      <c r="DP5" s="1774" t="s">
        <v>965</v>
      </c>
      <c r="DQ5" s="1839" t="s">
        <v>966</v>
      </c>
      <c r="DR5" s="1839" t="s">
        <v>967</v>
      </c>
      <c r="DS5" s="1839" t="s">
        <v>968</v>
      </c>
      <c r="DT5" s="1839" t="s">
        <v>969</v>
      </c>
      <c r="DU5" s="1774" t="s">
        <v>970</v>
      </c>
      <c r="DV5" s="1774" t="s">
        <v>971</v>
      </c>
      <c r="DW5" s="1774" t="s">
        <v>972</v>
      </c>
      <c r="DX5" s="1774" t="s">
        <v>973</v>
      </c>
      <c r="DY5" s="1866" t="s">
        <v>974</v>
      </c>
      <c r="DZ5" s="1866" t="s">
        <v>975</v>
      </c>
      <c r="EA5" s="1866" t="s">
        <v>976</v>
      </c>
      <c r="EB5" s="1866" t="s">
        <v>977</v>
      </c>
      <c r="EC5" s="1774" t="s">
        <v>980</v>
      </c>
      <c r="ED5" s="1774" t="s">
        <v>978</v>
      </c>
      <c r="EE5" s="1774" t="s">
        <v>979</v>
      </c>
      <c r="EF5" s="1866" t="s">
        <v>981</v>
      </c>
      <c r="EG5" s="1866" t="s">
        <v>982</v>
      </c>
      <c r="EH5" s="1866" t="s">
        <v>983</v>
      </c>
      <c r="EI5" s="1866" t="s">
        <v>984</v>
      </c>
      <c r="EJ5" s="1774" t="s">
        <v>987</v>
      </c>
      <c r="EK5" s="1774" t="s">
        <v>985</v>
      </c>
      <c r="EL5" s="1774" t="s">
        <v>986</v>
      </c>
      <c r="EM5" s="1774" t="s">
        <v>988</v>
      </c>
      <c r="EN5" s="1866" t="s">
        <v>989</v>
      </c>
      <c r="EO5" s="1866" t="s">
        <v>990</v>
      </c>
      <c r="EP5" s="1866" t="s">
        <v>991</v>
      </c>
    </row>
    <row r="6" spans="1:146" ht="21.75" customHeight="1">
      <c r="A6" s="1825"/>
      <c r="B6" s="656"/>
      <c r="C6" s="1827"/>
      <c r="D6" s="1775"/>
      <c r="E6" s="1775"/>
      <c r="F6" s="1810"/>
      <c r="G6" s="1775"/>
      <c r="H6" s="1775"/>
      <c r="I6" s="1849"/>
      <c r="J6" s="1775"/>
      <c r="K6" s="1775"/>
      <c r="L6" s="1775"/>
      <c r="M6" s="1805"/>
      <c r="N6" s="1775"/>
      <c r="O6" s="1775"/>
      <c r="P6" s="1775"/>
      <c r="Q6" s="1793"/>
      <c r="R6" s="1793"/>
      <c r="S6" s="1775"/>
      <c r="T6" s="1793"/>
      <c r="U6" s="1793"/>
      <c r="V6" s="1793"/>
      <c r="W6" s="1799"/>
      <c r="X6" s="1855"/>
      <c r="Y6" s="1858"/>
      <c r="Z6" s="1858"/>
      <c r="AA6" s="1849"/>
      <c r="AB6" s="1849"/>
      <c r="AC6" s="1775"/>
      <c r="AD6" s="1861"/>
      <c r="AE6" s="1849"/>
      <c r="AF6" s="1846"/>
      <c r="AG6" s="1778"/>
      <c r="AH6" s="1849"/>
      <c r="AI6" s="1849"/>
      <c r="AJ6" s="1852"/>
      <c r="AK6" s="1778"/>
      <c r="AL6" s="1775"/>
      <c r="AM6" s="1849"/>
      <c r="AN6" s="1849"/>
      <c r="AO6" s="1775"/>
      <c r="AP6" s="1849"/>
      <c r="AQ6" s="1775"/>
      <c r="AR6" s="1849"/>
      <c r="AS6" s="1775"/>
      <c r="AT6" s="1775"/>
      <c r="AU6" s="1775"/>
      <c r="AV6" s="1775"/>
      <c r="AW6" s="1849"/>
      <c r="AX6" s="1849"/>
      <c r="AY6" s="1775"/>
      <c r="AZ6" s="1775"/>
      <c r="BA6" s="1775"/>
      <c r="BB6" s="1849"/>
      <c r="BC6" s="1775"/>
      <c r="BW6" s="1775"/>
      <c r="BX6" s="1775"/>
      <c r="BY6" s="1775"/>
      <c r="BZ6" s="1775"/>
      <c r="CA6" s="1775"/>
      <c r="CB6" s="1864"/>
      <c r="CC6" s="1864"/>
      <c r="CD6" s="1864"/>
      <c r="CE6" s="1775"/>
      <c r="CF6" s="1775"/>
      <c r="CG6" s="1775"/>
      <c r="CH6" s="1840"/>
      <c r="CI6" s="1840"/>
      <c r="CJ6" s="1840"/>
      <c r="CK6" s="1775"/>
      <c r="CL6" s="1775"/>
      <c r="CM6" s="1775"/>
      <c r="CN6" s="1775"/>
      <c r="CO6" s="1775"/>
      <c r="CP6" s="1775"/>
      <c r="CQ6" s="1775"/>
      <c r="CR6" s="1775"/>
      <c r="CS6" s="1840"/>
      <c r="CT6" s="1840"/>
      <c r="CU6" s="1840"/>
      <c r="CV6" s="1840"/>
      <c r="CW6" s="1775"/>
      <c r="CX6" s="1775"/>
      <c r="CY6" s="1775"/>
      <c r="CZ6" s="1775"/>
      <c r="DA6" s="1840"/>
      <c r="DB6" s="1840"/>
      <c r="DC6" s="1840"/>
      <c r="DD6" s="1840"/>
      <c r="DE6" s="1775"/>
      <c r="DF6" s="1775"/>
      <c r="DG6" s="1775"/>
      <c r="DH6" s="1775"/>
      <c r="DI6" s="1840"/>
      <c r="DJ6" s="1840"/>
      <c r="DK6" s="1840"/>
      <c r="DL6" s="1840"/>
      <c r="DM6" s="1775"/>
      <c r="DN6" s="1775"/>
      <c r="DO6" s="1775"/>
      <c r="DP6" s="1775"/>
      <c r="DQ6" s="1840"/>
      <c r="DR6" s="1840"/>
      <c r="DS6" s="1840"/>
      <c r="DT6" s="1840"/>
      <c r="DU6" s="1775"/>
      <c r="DV6" s="1775"/>
      <c r="DW6" s="1775"/>
      <c r="DX6" s="1775"/>
      <c r="DY6" s="1867"/>
      <c r="DZ6" s="1867"/>
      <c r="EA6" s="1867"/>
      <c r="EB6" s="1867"/>
      <c r="EC6" s="1775"/>
      <c r="ED6" s="1775"/>
      <c r="EE6" s="1775"/>
      <c r="EF6" s="1867"/>
      <c r="EG6" s="1867"/>
      <c r="EH6" s="1867"/>
      <c r="EI6" s="1867"/>
      <c r="EJ6" s="1775"/>
      <c r="EK6" s="1775"/>
      <c r="EL6" s="1775"/>
      <c r="EM6" s="1775"/>
      <c r="EN6" s="1867"/>
      <c r="EO6" s="1867"/>
      <c r="EP6" s="1867"/>
    </row>
    <row r="7" spans="1:146" ht="38.25" customHeight="1" thickBot="1">
      <c r="A7" s="1826"/>
      <c r="B7" s="657"/>
      <c r="C7" s="658" t="str">
        <f>DatosP!A7</f>
        <v>COMPETENCIAS</v>
      </c>
      <c r="D7" s="1776"/>
      <c r="E7" s="1776"/>
      <c r="F7" s="1811"/>
      <c r="G7" s="1776"/>
      <c r="H7" s="1776"/>
      <c r="I7" s="1850"/>
      <c r="J7" s="1776"/>
      <c r="K7" s="1776"/>
      <c r="L7" s="1776"/>
      <c r="M7" s="1806"/>
      <c r="N7" s="1776"/>
      <c r="O7" s="1776"/>
      <c r="P7" s="1776"/>
      <c r="Q7" s="1794"/>
      <c r="R7" s="1794"/>
      <c r="S7" s="1776"/>
      <c r="T7" s="1794"/>
      <c r="U7" s="1794"/>
      <c r="V7" s="1794"/>
      <c r="W7" s="1800"/>
      <c r="X7" s="1856"/>
      <c r="Y7" s="1859"/>
      <c r="Z7" s="1859"/>
      <c r="AA7" s="1850"/>
      <c r="AB7" s="1850"/>
      <c r="AC7" s="1776"/>
      <c r="AD7" s="1862"/>
      <c r="AE7" s="1850"/>
      <c r="AF7" s="1847"/>
      <c r="AG7" s="1779"/>
      <c r="AH7" s="1850"/>
      <c r="AI7" s="1850"/>
      <c r="AJ7" s="1853"/>
      <c r="AK7" s="1779"/>
      <c r="AL7" s="1776"/>
      <c r="AM7" s="1850"/>
      <c r="AN7" s="1850"/>
      <c r="AO7" s="1776"/>
      <c r="AP7" s="1850"/>
      <c r="AQ7" s="1776"/>
      <c r="AR7" s="1850"/>
      <c r="AS7" s="1776"/>
      <c r="AT7" s="1776"/>
      <c r="AU7" s="1776"/>
      <c r="AV7" s="1776"/>
      <c r="AW7" s="1850"/>
      <c r="AX7" s="1850"/>
      <c r="AY7" s="1776"/>
      <c r="AZ7" s="1776"/>
      <c r="BA7" s="1776"/>
      <c r="BB7" s="1850"/>
      <c r="BC7" s="1776"/>
      <c r="BW7" s="1776"/>
      <c r="BX7" s="1776"/>
      <c r="BY7" s="1776"/>
      <c r="BZ7" s="1776"/>
      <c r="CA7" s="1776"/>
      <c r="CB7" s="1865"/>
      <c r="CC7" s="1865"/>
      <c r="CD7" s="1865"/>
      <c r="CE7" s="1776"/>
      <c r="CF7" s="1776"/>
      <c r="CG7" s="1776"/>
      <c r="CH7" s="1841"/>
      <c r="CI7" s="1841"/>
      <c r="CJ7" s="1841"/>
      <c r="CK7" s="1776"/>
      <c r="CL7" s="1776"/>
      <c r="CM7" s="1776"/>
      <c r="CN7" s="1776"/>
      <c r="CO7" s="1776"/>
      <c r="CP7" s="1776"/>
      <c r="CQ7" s="1776"/>
      <c r="CR7" s="1776"/>
      <c r="CS7" s="1841"/>
      <c r="CT7" s="1841"/>
      <c r="CU7" s="1841"/>
      <c r="CV7" s="1841"/>
      <c r="CW7" s="1776"/>
      <c r="CX7" s="1776"/>
      <c r="CY7" s="1776"/>
      <c r="CZ7" s="1776"/>
      <c r="DA7" s="1841"/>
      <c r="DB7" s="1841"/>
      <c r="DC7" s="1841"/>
      <c r="DD7" s="1841"/>
      <c r="DE7" s="1776"/>
      <c r="DF7" s="1776"/>
      <c r="DG7" s="1776"/>
      <c r="DH7" s="1776"/>
      <c r="DI7" s="1841"/>
      <c r="DJ7" s="1841"/>
      <c r="DK7" s="1841"/>
      <c r="DL7" s="1841"/>
      <c r="DM7" s="1776"/>
      <c r="DN7" s="1776"/>
      <c r="DO7" s="1776"/>
      <c r="DP7" s="1776"/>
      <c r="DQ7" s="1841"/>
      <c r="DR7" s="1841"/>
      <c r="DS7" s="1841"/>
      <c r="DT7" s="1841"/>
      <c r="DU7" s="1776"/>
      <c r="DV7" s="1776"/>
      <c r="DW7" s="1776"/>
      <c r="DX7" s="1776"/>
      <c r="DY7" s="1868"/>
      <c r="DZ7" s="1868"/>
      <c r="EA7" s="1868"/>
      <c r="EB7" s="1868"/>
      <c r="EC7" s="1776"/>
      <c r="ED7" s="1776"/>
      <c r="EE7" s="1776"/>
      <c r="EF7" s="1868"/>
      <c r="EG7" s="1868"/>
      <c r="EH7" s="1868"/>
      <c r="EI7" s="1868"/>
      <c r="EJ7" s="1776"/>
      <c r="EK7" s="1776"/>
      <c r="EL7" s="1776"/>
      <c r="EM7" s="1776"/>
      <c r="EN7" s="1868"/>
      <c r="EO7" s="1868"/>
      <c r="EP7" s="1868"/>
    </row>
    <row r="8" spans="1:146" ht="15" thickTop="1">
      <c r="A8" s="659"/>
      <c r="B8" s="659"/>
      <c r="C8" s="160" t="str">
        <f>DatosP!A8</f>
        <v>Jurisdicción Civil ( 1 ):</v>
      </c>
      <c r="D8" s="660"/>
      <c r="E8" s="660"/>
      <c r="F8" s="661"/>
      <c r="G8" s="661"/>
      <c r="H8" s="662"/>
      <c r="I8" s="661"/>
      <c r="J8" s="662"/>
      <c r="K8" s="662"/>
      <c r="L8" s="662"/>
      <c r="M8" s="663"/>
      <c r="N8" s="663"/>
      <c r="O8" s="662"/>
      <c r="P8" s="662"/>
      <c r="Q8" s="664"/>
      <c r="R8" s="664"/>
      <c r="S8" s="662"/>
      <c r="T8" s="664"/>
      <c r="U8" s="298"/>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223"/>
      <c r="BB8" s="676"/>
      <c r="BC8" s="677"/>
      <c r="BW8" s="1207"/>
      <c r="BX8" s="1207"/>
      <c r="BY8" s="1184"/>
      <c r="BZ8" s="1184"/>
      <c r="CA8" s="1184"/>
      <c r="CB8" s="1184"/>
      <c r="CC8" s="1184"/>
      <c r="CD8" s="1184"/>
      <c r="CE8" s="1207"/>
      <c r="CF8" s="1207"/>
      <c r="CG8" s="1207"/>
      <c r="CH8" s="1207"/>
      <c r="CI8" s="1207"/>
      <c r="CJ8" s="1207"/>
      <c r="CK8" s="1207"/>
      <c r="CL8" s="1207"/>
      <c r="CM8" s="1207"/>
      <c r="CN8" s="1207"/>
      <c r="CO8" s="1207"/>
      <c r="CP8" s="1207"/>
      <c r="CQ8" s="1207"/>
      <c r="CR8" s="1207"/>
      <c r="CS8" s="1207"/>
      <c r="CT8" s="1207"/>
      <c r="CU8" s="1207"/>
      <c r="CV8" s="1207"/>
      <c r="CW8" s="1207"/>
      <c r="CX8" s="1207"/>
      <c r="CY8" s="1207"/>
      <c r="CZ8" s="1207"/>
      <c r="DA8" s="1207"/>
      <c r="DB8" s="1207"/>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row>
    <row r="9" spans="1:146" ht="14.25">
      <c r="A9" s="500">
        <f>DatosP!AO9</f>
        <v>0</v>
      </c>
      <c r="B9" s="500" t="s">
        <v>247</v>
      </c>
      <c r="C9" s="159" t="str">
        <f>DatosP!A9</f>
        <v xml:space="preserve">Jdos. 1ª Instancia   </v>
      </c>
      <c r="D9" s="501"/>
      <c r="E9" s="690"/>
      <c r="F9" s="680"/>
      <c r="G9" s="681"/>
      <c r="H9" s="682"/>
      <c r="I9" s="1214"/>
      <c r="J9" s="682"/>
      <c r="K9" s="682"/>
      <c r="L9" s="682"/>
      <c r="M9" s="679"/>
      <c r="N9" s="679"/>
      <c r="O9" s="682"/>
      <c r="P9" s="682"/>
      <c r="Q9" s="1124"/>
      <c r="R9" s="1124"/>
      <c r="S9" s="682"/>
      <c r="T9" s="722"/>
      <c r="U9" s="225"/>
      <c r="V9" s="1001"/>
      <c r="W9" s="680"/>
      <c r="X9" s="1449"/>
      <c r="Y9" s="1214"/>
      <c r="Z9" s="1214"/>
      <c r="AA9" s="1214"/>
      <c r="AB9" s="1214"/>
      <c r="AC9" s="679"/>
      <c r="AD9" s="1214"/>
      <c r="AE9" s="1214"/>
      <c r="AF9" s="1214"/>
      <c r="AG9" s="669"/>
      <c r="AH9" s="1214"/>
      <c r="AI9" s="1214"/>
      <c r="AJ9" s="1214"/>
      <c r="AK9" s="680"/>
      <c r="AL9" s="687"/>
      <c r="AM9" s="1214"/>
      <c r="AN9" s="1214"/>
      <c r="AO9" s="689"/>
      <c r="AP9" s="1214"/>
      <c r="AQ9" s="689"/>
      <c r="AR9" s="1449"/>
      <c r="AS9" s="691"/>
      <c r="AT9" s="692"/>
      <c r="AU9" s="693"/>
      <c r="AV9" s="693"/>
      <c r="AW9" s="1214"/>
      <c r="AX9" s="1214"/>
      <c r="AY9" s="694"/>
      <c r="AZ9" s="694"/>
      <c r="BA9" s="265"/>
      <c r="BB9" s="1440"/>
      <c r="BC9" s="695"/>
      <c r="BI9" s="642"/>
      <c r="BW9" s="1218"/>
      <c r="BX9" s="1218"/>
      <c r="BY9" s="1191" t="e">
        <f>AVERAGEIF($BW:$BW,BW9,$I:$I)</f>
        <v>#DIV/0!</v>
      </c>
      <c r="BZ9" s="1191" t="e">
        <f>AVERAGEIFS($I:$I,$BW:$BW,BW9,$BX:$BX,BX9)</f>
        <v>#DIV/0!</v>
      </c>
      <c r="CA9" s="1191">
        <v>1.3</v>
      </c>
      <c r="CB9" s="1191" t="e">
        <f>AVERAGEIF($BW:$BW,BW9,$X:$X)</f>
        <v>#DIV/0!</v>
      </c>
      <c r="CC9" s="1191" t="e">
        <f>AVERAGEIFS($X:$X,$BW:$BW,BW9,$BX:$BX,BX9)</f>
        <v>#DIV/0!</v>
      </c>
      <c r="CD9" s="1191">
        <v>0.7</v>
      </c>
      <c r="CE9" s="1191" t="e">
        <f>AVERAGEIF($BW:$BW,BW9,$Y:$Y)</f>
        <v>#DIV/0!</v>
      </c>
      <c r="CF9" s="1218" t="e">
        <f>AVERAGEIFS($Y:$Y,$BW:$BW,BW9,$BX:$BX,BX9)</f>
        <v>#DIV/0!</v>
      </c>
      <c r="CG9" s="1191">
        <v>0.7</v>
      </c>
      <c r="CH9" s="1191" t="e">
        <f>AVERAGEIF($BW:$BW,$BW9,$Z:$Z)</f>
        <v>#DIV/0!</v>
      </c>
      <c r="CI9" s="1218" t="e">
        <f>AVERAGEIFS($Z:$Z,$BW:$BW,$BW9,$BX:$BX,$BX9)</f>
        <v>#DIV/0!</v>
      </c>
      <c r="CJ9" s="1191">
        <v>0.7</v>
      </c>
      <c r="CK9" s="1191" t="e">
        <f>AVERAGEIF($BW:$BW,BW9,$AA:$AA)</f>
        <v>#DIV/0!</v>
      </c>
      <c r="CL9" s="1218" t="e">
        <f>AVERAGEIFS($AA:$AA,$BW:$BW,BW9,$BX:$BX,BX9)</f>
        <v>#DIV/0!</v>
      </c>
      <c r="CM9" s="1191">
        <v>1.3</v>
      </c>
      <c r="CN9" s="1191">
        <v>1.5</v>
      </c>
      <c r="CO9" s="1191" t="e">
        <f>AVERAGEIF($BW:$BW,$BW9,$AB:$AB)</f>
        <v>#DIV/0!</v>
      </c>
      <c r="CP9" s="1218" t="e">
        <f>AVERAGEIFS($AB:$AB,$BW:$BW,$BW9,$BX:$BX,$BX9)</f>
        <v>#DIV/0!</v>
      </c>
      <c r="CQ9" s="1191">
        <v>1.3</v>
      </c>
      <c r="CR9" s="1191">
        <v>1.5</v>
      </c>
      <c r="CS9" s="1191">
        <v>1</v>
      </c>
      <c r="CT9" s="1191">
        <v>1</v>
      </c>
      <c r="CU9" s="1191">
        <v>25</v>
      </c>
      <c r="CV9" s="1191">
        <v>25</v>
      </c>
      <c r="CW9" s="1191">
        <v>1</v>
      </c>
      <c r="CX9" s="1191">
        <v>1</v>
      </c>
      <c r="CY9" s="1191">
        <v>25</v>
      </c>
      <c r="CZ9" s="1191">
        <v>25</v>
      </c>
      <c r="DA9" s="1191">
        <v>1</v>
      </c>
      <c r="DB9" s="1191">
        <v>1</v>
      </c>
      <c r="DC9" s="1191">
        <v>0</v>
      </c>
      <c r="DD9" s="1191">
        <v>0</v>
      </c>
      <c r="DE9" s="1191">
        <v>1</v>
      </c>
      <c r="DF9" s="1191">
        <v>1</v>
      </c>
      <c r="DG9" s="1191">
        <v>25</v>
      </c>
      <c r="DH9" s="1191">
        <v>25</v>
      </c>
      <c r="DI9" s="1191">
        <v>1</v>
      </c>
      <c r="DJ9" s="1191">
        <v>1</v>
      </c>
      <c r="DK9" s="1191">
        <v>10</v>
      </c>
      <c r="DL9" s="1191">
        <v>10</v>
      </c>
      <c r="DM9" s="1191">
        <v>1</v>
      </c>
      <c r="DN9" s="1191">
        <v>1</v>
      </c>
      <c r="DO9" s="1191">
        <v>0</v>
      </c>
      <c r="DP9" s="1191">
        <v>0</v>
      </c>
      <c r="DQ9" s="1191" t="e">
        <f>AVERAGEIF($BW:$BW,$BW9,$AM:$AM)</f>
        <v>#DIV/0!</v>
      </c>
      <c r="DR9" s="1218" t="e">
        <f>AVERAGEIFS($AM:$AM,$BW:$BW,$BW9,$BX:$BX,$BX9)</f>
        <v>#DIV/0!</v>
      </c>
      <c r="DS9" s="1191">
        <v>1.3</v>
      </c>
      <c r="DT9" s="1191">
        <v>1.5</v>
      </c>
      <c r="DU9" s="1191" t="e">
        <f>AVERAGEIF($BW:$BW,$BW9,$AN:$AN)</f>
        <v>#DIV/0!</v>
      </c>
      <c r="DV9" s="1218" t="e">
        <f>AVERAGEIFS($AN:$AN,$BW:$BW,$BW9,$BX:$BX,$BX9)</f>
        <v>#DIV/0!</v>
      </c>
      <c r="DW9" s="1191">
        <v>1.3</v>
      </c>
      <c r="DX9" s="1191">
        <v>1.5</v>
      </c>
      <c r="DY9" s="1191" t="e">
        <f>AVERAGEIF($BW:$BW,$BW9,$AP:$AP)</f>
        <v>#DIV/0!</v>
      </c>
      <c r="DZ9" s="1218" t="e">
        <f>AVERAGEIFS($AP:$AP,$BW:$BW,$BW9,$BX:$BX,$BX9)</f>
        <v>#DIV/0!</v>
      </c>
      <c r="EA9" s="1191">
        <v>1.3</v>
      </c>
      <c r="EB9" s="1191">
        <v>1.5</v>
      </c>
      <c r="EC9" s="1185" t="e">
        <f>AVERAGEIF($BW:$BW,$BW9,$AR:$AR)</f>
        <v>#DIV/0!</v>
      </c>
      <c r="ED9" s="1444" t="e">
        <f>AVERAGEIFS($AR:$AR,$BW:$BW,$BW9,$BX:$BX,$BX9)</f>
        <v>#DIV/0!</v>
      </c>
      <c r="EE9" s="1191">
        <v>1.3</v>
      </c>
      <c r="EF9" s="1191" t="e">
        <f>AVERAGEIF($BW:$BW,$BW9,$AW:$AW)</f>
        <v>#DIV/0!</v>
      </c>
      <c r="EG9" s="1218" t="e">
        <f>AVERAGEIFS($AW:$AW,$BW:$BW,$BW9,$BX:$BX,$BX9)</f>
        <v>#DIV/0!</v>
      </c>
      <c r="EH9" s="1191">
        <v>1.3</v>
      </c>
      <c r="EI9" s="1191">
        <v>1.5</v>
      </c>
      <c r="EJ9" s="1191" t="e">
        <f>AVERAGEIF($BW:$BW,$BW9,$AX:$AX)</f>
        <v>#DIV/0!</v>
      </c>
      <c r="EK9" s="1218" t="e">
        <f>AVERAGEIFS($AX:$AX,$BW:$BW,$BW9,$BX:$BX,$BX9)</f>
        <v>#DIV/0!</v>
      </c>
      <c r="EL9" s="1191">
        <v>1.3</v>
      </c>
      <c r="EM9" s="1191">
        <v>1.5</v>
      </c>
      <c r="EN9" s="1185" t="e">
        <f>AVERAGEIF($BW:$BW,$BW9,$X:$X)</f>
        <v>#DIV/0!</v>
      </c>
      <c r="EO9" s="1444" t="e">
        <f>AVERAGEIFS($X:$X,$BW:$BW,$BW9,$BX:$BX,$BX9)</f>
        <v>#DIV/0!</v>
      </c>
      <c r="EP9" s="1191">
        <v>0.7</v>
      </c>
    </row>
    <row r="10" spans="1:146" ht="14.25">
      <c r="A10" s="500">
        <f>DatosP!AO10</f>
        <v>0</v>
      </c>
      <c r="B10" s="506" t="s">
        <v>247</v>
      </c>
      <c r="C10" s="7" t="str">
        <f>DatosP!A10</f>
        <v>Jdos. Violencia contra la mujer</v>
      </c>
      <c r="D10" s="507"/>
      <c r="E10" s="690"/>
      <c r="F10" s="680"/>
      <c r="G10" s="681"/>
      <c r="H10" s="682"/>
      <c r="I10" s="1214"/>
      <c r="J10" s="682"/>
      <c r="K10" s="682"/>
      <c r="L10" s="682"/>
      <c r="M10" s="679"/>
      <c r="N10" s="679"/>
      <c r="O10" s="682"/>
      <c r="P10" s="682"/>
      <c r="Q10" s="1124"/>
      <c r="R10" s="1124"/>
      <c r="S10" s="682"/>
      <c r="T10" s="722"/>
      <c r="U10" s="225"/>
      <c r="V10" s="1001"/>
      <c r="W10" s="680"/>
      <c r="X10" s="1449"/>
      <c r="Y10" s="1214"/>
      <c r="Z10" s="1214"/>
      <c r="AA10" s="1214"/>
      <c r="AB10" s="1214"/>
      <c r="AC10" s="679"/>
      <c r="AD10" s="1214"/>
      <c r="AE10" s="1214"/>
      <c r="AF10" s="1214"/>
      <c r="AG10" s="669"/>
      <c r="AH10" s="1214"/>
      <c r="AI10" s="1214"/>
      <c r="AJ10" s="1214"/>
      <c r="AK10" s="680"/>
      <c r="AL10" s="687"/>
      <c r="AM10" s="1214"/>
      <c r="AN10" s="1214"/>
      <c r="AO10" s="689"/>
      <c r="AP10" s="1214"/>
      <c r="AQ10" s="689"/>
      <c r="AR10" s="1449"/>
      <c r="AS10" s="691"/>
      <c r="AT10" s="692"/>
      <c r="AU10" s="693"/>
      <c r="AV10" s="693"/>
      <c r="AW10" s="1214"/>
      <c r="AX10" s="1214"/>
      <c r="AY10" s="694"/>
      <c r="AZ10" s="694"/>
      <c r="BA10" s="265"/>
      <c r="BB10" s="1440"/>
      <c r="BC10" s="695"/>
      <c r="BI10" s="642"/>
      <c r="BW10" s="1218"/>
      <c r="BX10" s="1218"/>
      <c r="BY10" s="1191" t="e">
        <f>AVERAGEIF($BW:$BW,BW10,$I:$I)</f>
        <v>#DIV/0!</v>
      </c>
      <c r="BZ10" s="1191" t="e">
        <f>AVERAGEIFS($I:$I,$BW:$BW,BW10,$BX:$BX,BX10)</f>
        <v>#DIV/0!</v>
      </c>
      <c r="CA10" s="1191">
        <v>1.3</v>
      </c>
      <c r="CB10" s="1191" t="e">
        <f>AVERAGEIF($BW:$BW,BW10,$X:$X)</f>
        <v>#DIV/0!</v>
      </c>
      <c r="CC10" s="1191" t="e">
        <f>AVERAGEIFS($X:$X,$BW:$BW,BW10,$BX:$BX,BX10)</f>
        <v>#DIV/0!</v>
      </c>
      <c r="CD10" s="1191">
        <v>0.7</v>
      </c>
      <c r="CE10" s="1191" t="e">
        <f>AVERAGEIF($BW:$BW,BW10,$Y:$Y)</f>
        <v>#DIV/0!</v>
      </c>
      <c r="CF10" s="1218" t="e">
        <f>AVERAGEIFS($Y:$Y,$BW:$BW,BW10,$BX:$BX,BX10)</f>
        <v>#DIV/0!</v>
      </c>
      <c r="CG10" s="1191">
        <v>0.7</v>
      </c>
      <c r="CH10" s="1191" t="e">
        <f>AVERAGEIF($BW:$BW,BW10,$Z:$Z)</f>
        <v>#DIV/0!</v>
      </c>
      <c r="CI10" s="1218" t="e">
        <f>AVERAGEIFS($Z:$Z,$BW:$BW,BW10,$BX:$BX,BX10)</f>
        <v>#DIV/0!</v>
      </c>
      <c r="CJ10" s="1191">
        <v>0.7</v>
      </c>
      <c r="CK10" s="1191" t="e">
        <f>AVERAGEIF($BW:$BW,BW10,$AA:$AA)</f>
        <v>#DIV/0!</v>
      </c>
      <c r="CL10" s="1218" t="e">
        <f>AVERAGEIFS($AA:$AA,$BW:$BW,BW10,$BX:$BX,BX10)</f>
        <v>#DIV/0!</v>
      </c>
      <c r="CM10" s="1191">
        <v>1.3</v>
      </c>
      <c r="CN10" s="1191">
        <v>1.5</v>
      </c>
      <c r="CO10" s="1191" t="e">
        <f>AVERAGEIF($BW:$BW,$BW10,$AB:$AB)</f>
        <v>#DIV/0!</v>
      </c>
      <c r="CP10" s="1218" t="e">
        <f>AVERAGEIFS($AB:$AB,$BW:$BW,$BW10,$BX:$BX,$BX10)</f>
        <v>#DIV/0!</v>
      </c>
      <c r="CQ10" s="1191">
        <v>1.3</v>
      </c>
      <c r="CR10" s="1191">
        <v>1.5</v>
      </c>
      <c r="CS10" s="1191">
        <v>1</v>
      </c>
      <c r="CT10" s="1191">
        <v>1</v>
      </c>
      <c r="CU10" s="1191">
        <v>25</v>
      </c>
      <c r="CV10" s="1191">
        <v>25</v>
      </c>
      <c r="CW10" s="1191">
        <v>1</v>
      </c>
      <c r="CX10" s="1191">
        <v>1</v>
      </c>
      <c r="CY10" s="1191">
        <v>10</v>
      </c>
      <c r="CZ10" s="1191">
        <v>10</v>
      </c>
      <c r="DA10" s="1191">
        <v>1</v>
      </c>
      <c r="DB10" s="1191">
        <v>1</v>
      </c>
      <c r="DC10" s="1191">
        <v>0</v>
      </c>
      <c r="DD10" s="1191">
        <v>0</v>
      </c>
      <c r="DE10" s="1191">
        <v>1</v>
      </c>
      <c r="DF10" s="1191">
        <v>1</v>
      </c>
      <c r="DG10" s="1191">
        <v>25</v>
      </c>
      <c r="DH10" s="1191">
        <v>25</v>
      </c>
      <c r="DI10" s="1191">
        <v>1</v>
      </c>
      <c r="DJ10" s="1191">
        <v>1</v>
      </c>
      <c r="DK10" s="1191">
        <v>10</v>
      </c>
      <c r="DL10" s="1191">
        <v>10</v>
      </c>
      <c r="DM10" s="1191">
        <v>1</v>
      </c>
      <c r="DN10" s="1191">
        <v>1</v>
      </c>
      <c r="DO10" s="1191">
        <v>0</v>
      </c>
      <c r="DP10" s="1191">
        <v>0</v>
      </c>
      <c r="DQ10" s="1191" t="e">
        <f>AVERAGEIF($BW:$BW,$BW10,$AM:$AM)</f>
        <v>#DIV/0!</v>
      </c>
      <c r="DR10" s="1218" t="e">
        <f>AVERAGEIFS($AM:$AM,$BW:$BW,$BW10,$BX:$BX,$BX10)</f>
        <v>#DIV/0!</v>
      </c>
      <c r="DS10" s="1191">
        <v>1.3</v>
      </c>
      <c r="DT10" s="1191">
        <v>1.5</v>
      </c>
      <c r="DU10" s="1191" t="e">
        <f>AVERAGEIF($BW:$BW,$BW10,$AN:$AN)</f>
        <v>#DIV/0!</v>
      </c>
      <c r="DV10" s="1218" t="e">
        <f>AVERAGEIFS($AN:$AN,$BW:$BW,$BW10,$BX:$BX,$BX10)</f>
        <v>#DIV/0!</v>
      </c>
      <c r="DW10" s="1191">
        <v>1.3</v>
      </c>
      <c r="DX10" s="1191">
        <v>1.5</v>
      </c>
      <c r="DY10" s="1191" t="e">
        <f>AVERAGEIF($BW:$BW,$BW10,$AP:$AP)</f>
        <v>#DIV/0!</v>
      </c>
      <c r="DZ10" s="1218" t="e">
        <f>AVERAGEIFS($AP:$AP,$BW:$BW,$BW10,$BX:$BX,$BX10)</f>
        <v>#DIV/0!</v>
      </c>
      <c r="EA10" s="1191">
        <v>1.3</v>
      </c>
      <c r="EB10" s="1191">
        <v>1.5</v>
      </c>
      <c r="EC10" s="1185" t="e">
        <f>AVERAGEIF($BW:$BW,$BW10,$AR:$AR)</f>
        <v>#DIV/0!</v>
      </c>
      <c r="ED10" s="1444" t="e">
        <f>AVERAGEIFS($AR:$AR,$BW:$BW,$BW10,$BX:$BX,$BX10)</f>
        <v>#DIV/0!</v>
      </c>
      <c r="EE10" s="1191">
        <v>1.3</v>
      </c>
      <c r="EF10" s="1191" t="e">
        <f>AVERAGEIF($BW:$BW,$BW10,$AW:$AW)</f>
        <v>#DIV/0!</v>
      </c>
      <c r="EG10" s="1218" t="e">
        <f>AVERAGEIFS($AW:$AW,$BW:$BW,$BW10,$BX:$BX,$BX10)</f>
        <v>#DIV/0!</v>
      </c>
      <c r="EH10" s="1191">
        <v>1.3</v>
      </c>
      <c r="EI10" s="1191">
        <v>1.5</v>
      </c>
      <c r="EJ10" s="1191" t="e">
        <f>AVERAGEIF($BW:$BW,$BW10,$AX:$AX)</f>
        <v>#DIV/0!</v>
      </c>
      <c r="EK10" s="1218" t="e">
        <f>AVERAGEIFS($AX:$AX,$BW:$BW,$BW10,$BX:$BX,$BX10)</f>
        <v>#DIV/0!</v>
      </c>
      <c r="EL10" s="1191">
        <v>1.3</v>
      </c>
      <c r="EM10" s="1191">
        <v>1.5</v>
      </c>
      <c r="EN10" s="1185" t="e">
        <f>AVERAGEIF($BW:$BW,$BW10,$X:$X)</f>
        <v>#DIV/0!</v>
      </c>
      <c r="EO10" s="1444" t="e">
        <f>AVERAGEIFS($X:$X,$BW:$BW,$BW10,$BX:$BX,$BX10)</f>
        <v>#DIV/0!</v>
      </c>
      <c r="EP10" s="1191">
        <v>0.7</v>
      </c>
    </row>
    <row r="11" spans="1:146" ht="14.25">
      <c r="A11" s="500">
        <f>DatosP!AO11</f>
        <v>0</v>
      </c>
      <c r="B11" s="506" t="s">
        <v>247</v>
      </c>
      <c r="C11" s="7" t="str">
        <f>DatosP!A11</f>
        <v xml:space="preserve">Jdos. Familia                                   </v>
      </c>
      <c r="D11" s="507"/>
      <c r="E11" s="690"/>
      <c r="F11" s="680"/>
      <c r="G11" s="681"/>
      <c r="H11" s="682"/>
      <c r="I11" s="1214"/>
      <c r="J11" s="682"/>
      <c r="K11" s="682"/>
      <c r="L11" s="682"/>
      <c r="M11" s="679"/>
      <c r="N11" s="679"/>
      <c r="O11" s="682"/>
      <c r="P11" s="682"/>
      <c r="Q11" s="1124"/>
      <c r="R11" s="1124"/>
      <c r="S11" s="682"/>
      <c r="T11" s="722"/>
      <c r="U11" s="225"/>
      <c r="V11" s="1001"/>
      <c r="W11" s="680"/>
      <c r="X11" s="1449"/>
      <c r="Y11" s="1214"/>
      <c r="Z11" s="1214"/>
      <c r="AA11" s="1214"/>
      <c r="AB11" s="1214"/>
      <c r="AC11" s="679"/>
      <c r="AD11" s="1214"/>
      <c r="AE11" s="1214"/>
      <c r="AF11" s="1214"/>
      <c r="AG11" s="669"/>
      <c r="AH11" s="1214"/>
      <c r="AI11" s="1214"/>
      <c r="AJ11" s="1214"/>
      <c r="AK11" s="680"/>
      <c r="AL11" s="687"/>
      <c r="AM11" s="1214"/>
      <c r="AN11" s="1214"/>
      <c r="AO11" s="689"/>
      <c r="AP11" s="1214"/>
      <c r="AQ11" s="689"/>
      <c r="AR11" s="1449"/>
      <c r="AS11" s="691"/>
      <c r="AT11" s="692"/>
      <c r="AU11" s="693"/>
      <c r="AV11" s="693"/>
      <c r="AW11" s="1214"/>
      <c r="AX11" s="1214"/>
      <c r="AY11" s="694"/>
      <c r="AZ11" s="694"/>
      <c r="BA11" s="265"/>
      <c r="BB11" s="1440"/>
      <c r="BC11" s="695"/>
      <c r="BI11" s="642"/>
      <c r="BW11" s="1218"/>
      <c r="BX11" s="1218"/>
      <c r="BY11" s="1191" t="e">
        <f>AVERAGEIF($BW:$BW,BW11,$I:$I)</f>
        <v>#DIV/0!</v>
      </c>
      <c r="BZ11" s="1191" t="e">
        <f>AVERAGEIFS($I:$I,$BW:$BW,BW11,$BX:$BX,BX11)</f>
        <v>#DIV/0!</v>
      </c>
      <c r="CA11" s="1191">
        <v>1.3</v>
      </c>
      <c r="CB11" s="1191" t="e">
        <f>AVERAGEIF($BW:$BW,BW11,$X:$X)</f>
        <v>#DIV/0!</v>
      </c>
      <c r="CC11" s="1191" t="e">
        <f>AVERAGEIFS($X:$X,$BW:$BW,BW11,$BX:$BX,BX11)</f>
        <v>#DIV/0!</v>
      </c>
      <c r="CD11" s="1191">
        <v>0.7</v>
      </c>
      <c r="CE11" s="1191" t="e">
        <f>AVERAGEIF($BW:$BW,BW11,$Y:$Y)</f>
        <v>#DIV/0!</v>
      </c>
      <c r="CF11" s="1218" t="e">
        <f>AVERAGEIFS($Y:$Y,$BW:$BW,BW11,$BX:$BX,BX11)</f>
        <v>#DIV/0!</v>
      </c>
      <c r="CG11" s="1191">
        <v>0.7</v>
      </c>
      <c r="CH11" s="1191" t="e">
        <f>AVERAGEIF($BW:$BW,BW11,$Z:$Z)</f>
        <v>#DIV/0!</v>
      </c>
      <c r="CI11" s="1218" t="e">
        <f>AVERAGEIFS($Z:$Z,$BW:$BW,BW11,$BX:$BX,BX11)</f>
        <v>#DIV/0!</v>
      </c>
      <c r="CJ11" s="1191">
        <v>0.7</v>
      </c>
      <c r="CK11" s="1191" t="e">
        <f>AVERAGEIF($BW:$BW,BW11,$AA:$AA)</f>
        <v>#DIV/0!</v>
      </c>
      <c r="CL11" s="1218" t="e">
        <f>AVERAGEIFS($AA:$AA,$BW:$BW,BW11,$BX:$BX,BX11)</f>
        <v>#DIV/0!</v>
      </c>
      <c r="CM11" s="1191">
        <v>1.3</v>
      </c>
      <c r="CN11" s="1191">
        <v>1.5</v>
      </c>
      <c r="CO11" s="1191" t="e">
        <f>AVERAGEIF($BW:$BW,$BW11,$AB:$AB)</f>
        <v>#DIV/0!</v>
      </c>
      <c r="CP11" s="1218" t="e">
        <f>AVERAGEIFS($AB:$AB,$BW:$BW,$BW11,$BX:$BX,$BX11)</f>
        <v>#DIV/0!</v>
      </c>
      <c r="CQ11" s="1191">
        <v>1.3</v>
      </c>
      <c r="CR11" s="1191">
        <v>1.5</v>
      </c>
      <c r="CS11" s="1191">
        <v>1</v>
      </c>
      <c r="CT11" s="1191">
        <v>1</v>
      </c>
      <c r="CU11" s="1191">
        <v>25</v>
      </c>
      <c r="CV11" s="1191">
        <v>25</v>
      </c>
      <c r="CW11" s="1191">
        <v>1</v>
      </c>
      <c r="CX11" s="1191">
        <v>1</v>
      </c>
      <c r="CY11" s="1191">
        <v>10</v>
      </c>
      <c r="CZ11" s="1191">
        <v>10</v>
      </c>
      <c r="DA11" s="1191">
        <v>1</v>
      </c>
      <c r="DB11" s="1191">
        <v>1</v>
      </c>
      <c r="DC11" s="1191">
        <v>0</v>
      </c>
      <c r="DD11" s="1191">
        <v>0</v>
      </c>
      <c r="DE11" s="1191">
        <v>1</v>
      </c>
      <c r="DF11" s="1191">
        <v>1</v>
      </c>
      <c r="DG11" s="1191">
        <v>25</v>
      </c>
      <c r="DH11" s="1191">
        <v>25</v>
      </c>
      <c r="DI11" s="1191">
        <v>1</v>
      </c>
      <c r="DJ11" s="1191">
        <v>1</v>
      </c>
      <c r="DK11" s="1191">
        <v>10</v>
      </c>
      <c r="DL11" s="1191">
        <v>10</v>
      </c>
      <c r="DM11" s="1191">
        <v>1</v>
      </c>
      <c r="DN11" s="1191">
        <v>1</v>
      </c>
      <c r="DO11" s="1191">
        <v>0</v>
      </c>
      <c r="DP11" s="1191">
        <v>0</v>
      </c>
      <c r="DQ11" s="1191" t="e">
        <f>AVERAGEIF($BW:$BW,$BW11,$AM:$AM)</f>
        <v>#DIV/0!</v>
      </c>
      <c r="DR11" s="1218" t="e">
        <f>AVERAGEIFS($AM:$AM,$BW:$BW,$BW11,$BX:$BX,$BX11)</f>
        <v>#DIV/0!</v>
      </c>
      <c r="DS11" s="1191">
        <v>1.3</v>
      </c>
      <c r="DT11" s="1191">
        <v>1.5</v>
      </c>
      <c r="DU11" s="1191" t="e">
        <f>AVERAGEIF($BW:$BW,$BW11,$AN:$AN)</f>
        <v>#DIV/0!</v>
      </c>
      <c r="DV11" s="1218" t="e">
        <f>AVERAGEIFS($AN:$AN,$BW:$BW,$BW11,$BX:$BX,$BX11)</f>
        <v>#DIV/0!</v>
      </c>
      <c r="DW11" s="1191">
        <v>1.3</v>
      </c>
      <c r="DX11" s="1191">
        <v>1.5</v>
      </c>
      <c r="DY11" s="1191" t="e">
        <f>AVERAGEIF($BW:$BW,$BW11,$AP:$AP)</f>
        <v>#DIV/0!</v>
      </c>
      <c r="DZ11" s="1218" t="e">
        <f>AVERAGEIFS($AP:$AP,$BW:$BW,$BW11,$BX:$BX,$BX11)</f>
        <v>#DIV/0!</v>
      </c>
      <c r="EA11" s="1191">
        <v>1.3</v>
      </c>
      <c r="EB11" s="1191">
        <v>1.5</v>
      </c>
      <c r="EC11" s="1185" t="e">
        <f>AVERAGEIF($BW:$BW,$BW11,$AR:$AR)</f>
        <v>#DIV/0!</v>
      </c>
      <c r="ED11" s="1444" t="e">
        <f>AVERAGEIFS($AR:$AR,$BW:$BW,$BW11,$BX:$BX,$BX11)</f>
        <v>#DIV/0!</v>
      </c>
      <c r="EE11" s="1191">
        <v>1.3</v>
      </c>
      <c r="EF11" s="1191" t="e">
        <f>AVERAGEIF($BW:$BW,$BW11,$AW:$AW)</f>
        <v>#DIV/0!</v>
      </c>
      <c r="EG11" s="1218" t="e">
        <f>AVERAGEIFS($AW:$AW,$BW:$BW,$BW11,$BX:$BX,$BX11)</f>
        <v>#DIV/0!</v>
      </c>
      <c r="EH11" s="1191">
        <v>1.3</v>
      </c>
      <c r="EI11" s="1191">
        <v>1.5</v>
      </c>
      <c r="EJ11" s="1191" t="e">
        <f>AVERAGEIF($BW:$BW,$BW11,$AX:$AX)</f>
        <v>#DIV/0!</v>
      </c>
      <c r="EK11" s="1218" t="e">
        <f>AVERAGEIFS($AX:$AX,$BW:$BW,$BW11,$BX:$BX,$BX11)</f>
        <v>#DIV/0!</v>
      </c>
      <c r="EL11" s="1191">
        <v>1.3</v>
      </c>
      <c r="EM11" s="1191">
        <v>1.5</v>
      </c>
      <c r="EN11" s="1185" t="e">
        <f>AVERAGEIF($BW:$BW,$BW11,$X:$X)</f>
        <v>#DIV/0!</v>
      </c>
      <c r="EO11" s="1444" t="e">
        <f>AVERAGEIFS($X:$X,$BW:$BW,$BW11,$BX:$BX,$BX11)</f>
        <v>#DIV/0!</v>
      </c>
      <c r="EP11" s="1191">
        <v>0.7</v>
      </c>
    </row>
    <row r="12" spans="1:146" ht="15" thickBot="1">
      <c r="A12" s="500">
        <f>DatosP!AO12</f>
        <v>0</v>
      </c>
      <c r="B12" s="506" t="s">
        <v>247</v>
      </c>
      <c r="C12" s="7" t="str">
        <f>DatosP!A12</f>
        <v xml:space="preserve">Jdos. 1ª Instª. e Instr.                        </v>
      </c>
      <c r="D12" s="507"/>
      <c r="E12" s="690"/>
      <c r="F12" s="680"/>
      <c r="G12" s="681"/>
      <c r="H12" s="682"/>
      <c r="I12" s="1214"/>
      <c r="J12" s="682"/>
      <c r="K12" s="682"/>
      <c r="L12" s="682"/>
      <c r="M12" s="679"/>
      <c r="N12" s="679"/>
      <c r="O12" s="682"/>
      <c r="P12" s="682"/>
      <c r="Q12" s="1124"/>
      <c r="R12" s="1124"/>
      <c r="S12" s="682"/>
      <c r="T12" s="722"/>
      <c r="U12" s="225"/>
      <c r="V12" s="1001"/>
      <c r="W12" s="680"/>
      <c r="X12" s="1449"/>
      <c r="Y12" s="1214"/>
      <c r="Z12" s="1214"/>
      <c r="AA12" s="1214"/>
      <c r="AB12" s="1214"/>
      <c r="AC12" s="679"/>
      <c r="AD12" s="1214"/>
      <c r="AE12" s="1214"/>
      <c r="AF12" s="1214"/>
      <c r="AG12" s="669"/>
      <c r="AH12" s="1214"/>
      <c r="AI12" s="1214"/>
      <c r="AJ12" s="1214"/>
      <c r="AK12" s="680"/>
      <c r="AL12" s="687"/>
      <c r="AM12" s="1214"/>
      <c r="AN12" s="1214"/>
      <c r="AO12" s="689"/>
      <c r="AP12" s="1214"/>
      <c r="AQ12" s="689"/>
      <c r="AR12" s="1449"/>
      <c r="AS12" s="691"/>
      <c r="AT12" s="692"/>
      <c r="AU12" s="693"/>
      <c r="AV12" s="693"/>
      <c r="AW12" s="1214"/>
      <c r="AX12" s="1214"/>
      <c r="AY12" s="694"/>
      <c r="AZ12" s="694"/>
      <c r="BA12" s="265"/>
      <c r="BB12" s="1440"/>
      <c r="BC12" s="695"/>
      <c r="BI12" s="642"/>
      <c r="BW12" s="1218"/>
      <c r="BX12" s="1218"/>
      <c r="BY12" s="1191" t="e">
        <f>AVERAGEIF($BW:$BW,BW12,$I:$I)</f>
        <v>#DIV/0!</v>
      </c>
      <c r="BZ12" s="1191" t="e">
        <f>AVERAGEIFS($I:$I,$BW:$BW,BW12,$BX:$BX,BX12)</f>
        <v>#DIV/0!</v>
      </c>
      <c r="CA12" s="1191">
        <v>1.3</v>
      </c>
      <c r="CB12" s="1191" t="e">
        <f>AVERAGEIF($BW:$BW,BW12,$X:$X)</f>
        <v>#DIV/0!</v>
      </c>
      <c r="CC12" s="1191" t="e">
        <f>AVERAGEIFS($X:$X,$BW:$BW,BW12,$BX:$BX,BX12)</f>
        <v>#DIV/0!</v>
      </c>
      <c r="CD12" s="1191">
        <v>0.7</v>
      </c>
      <c r="CE12" s="1191" t="e">
        <f>AVERAGEIF($BW:$BW,BW12,$Y:$Y)</f>
        <v>#DIV/0!</v>
      </c>
      <c r="CF12" s="1218" t="e">
        <f>AVERAGEIFS($Y:$Y,$BW:$BW,BW12,$BX:$BX,BX12)</f>
        <v>#DIV/0!</v>
      </c>
      <c r="CG12" s="1191">
        <v>0.7</v>
      </c>
      <c r="CH12" s="1191" t="e">
        <f>AVERAGEIF($BW:$BW,BW12,$Z:$Z)</f>
        <v>#DIV/0!</v>
      </c>
      <c r="CI12" s="1218" t="e">
        <f>AVERAGEIFS($Z:$Z,$BW:$BW,BW12,$BX:$BX,BX12)</f>
        <v>#DIV/0!</v>
      </c>
      <c r="CJ12" s="1191">
        <v>0.7</v>
      </c>
      <c r="CK12" s="1191" t="e">
        <f>AVERAGEIF($BW:$BW,BW12,$AA:$AA)</f>
        <v>#DIV/0!</v>
      </c>
      <c r="CL12" s="1218" t="e">
        <f>AVERAGEIFS($AA:$AA,$BW:$BW,BW12,$BX:$BX,BX12)</f>
        <v>#DIV/0!</v>
      </c>
      <c r="CM12" s="1191">
        <v>1.3</v>
      </c>
      <c r="CN12" s="1191">
        <v>1.5</v>
      </c>
      <c r="CO12" s="1191" t="e">
        <f>AVERAGEIF($BW:$BW,$BW12,$AB:$AB)</f>
        <v>#DIV/0!</v>
      </c>
      <c r="CP12" s="1218" t="e">
        <f>AVERAGEIFS($AB:$AB,$BW:$BW,$BW12,$BX:$BX,$BX12)</f>
        <v>#DIV/0!</v>
      </c>
      <c r="CQ12" s="1191">
        <v>1.3</v>
      </c>
      <c r="CR12" s="1191">
        <v>1.5</v>
      </c>
      <c r="CS12" s="1191">
        <v>1</v>
      </c>
      <c r="CT12" s="1191">
        <v>1</v>
      </c>
      <c r="CU12" s="1191">
        <v>25</v>
      </c>
      <c r="CV12" s="1191">
        <v>25</v>
      </c>
      <c r="CW12" s="1191">
        <v>1</v>
      </c>
      <c r="CX12" s="1191">
        <v>1</v>
      </c>
      <c r="CY12" s="1191">
        <v>10</v>
      </c>
      <c r="CZ12" s="1191">
        <v>10</v>
      </c>
      <c r="DA12" s="1191">
        <v>1</v>
      </c>
      <c r="DB12" s="1191">
        <v>1</v>
      </c>
      <c r="DC12" s="1191">
        <v>0</v>
      </c>
      <c r="DD12" s="1191">
        <v>0</v>
      </c>
      <c r="DE12" s="1191">
        <v>1</v>
      </c>
      <c r="DF12" s="1191">
        <v>1</v>
      </c>
      <c r="DG12" s="1191">
        <v>25</v>
      </c>
      <c r="DH12" s="1191">
        <v>25</v>
      </c>
      <c r="DI12" s="1191">
        <v>1</v>
      </c>
      <c r="DJ12" s="1191">
        <v>1</v>
      </c>
      <c r="DK12" s="1191">
        <v>10</v>
      </c>
      <c r="DL12" s="1191">
        <v>10</v>
      </c>
      <c r="DM12" s="1191">
        <v>1</v>
      </c>
      <c r="DN12" s="1191">
        <v>1</v>
      </c>
      <c r="DO12" s="1191">
        <v>0</v>
      </c>
      <c r="DP12" s="1191">
        <v>0</v>
      </c>
      <c r="DQ12" s="1191" t="e">
        <f>AVERAGEIF($BW:$BW,$BW12,$AM:$AM)</f>
        <v>#DIV/0!</v>
      </c>
      <c r="DR12" s="1218" t="e">
        <f>AVERAGEIFS($AM:$AM,$BW:$BW,$BW12,$BX:$BX,$BX12)</f>
        <v>#DIV/0!</v>
      </c>
      <c r="DS12" s="1191">
        <v>1.3</v>
      </c>
      <c r="DT12" s="1191">
        <v>1.5</v>
      </c>
      <c r="DU12" s="1191" t="e">
        <f>AVERAGEIF($BW:$BW,$BW12,$AN:$AN)</f>
        <v>#DIV/0!</v>
      </c>
      <c r="DV12" s="1218" t="e">
        <f>AVERAGEIFS($AN:$AN,$BW:$BW,$BW12,$BX:$BX,$BX12)</f>
        <v>#DIV/0!</v>
      </c>
      <c r="DW12" s="1191">
        <v>1.3</v>
      </c>
      <c r="DX12" s="1191">
        <v>1.5</v>
      </c>
      <c r="DY12" s="1191" t="e">
        <f>AVERAGEIF($BW:$BW,$BW12,$AP:$AP)</f>
        <v>#DIV/0!</v>
      </c>
      <c r="DZ12" s="1218" t="e">
        <f>AVERAGEIFS($AP:$AP,$BW:$BW,$BW12,$BX:$BX,$BX12)</f>
        <v>#DIV/0!</v>
      </c>
      <c r="EA12" s="1191">
        <v>1.3</v>
      </c>
      <c r="EB12" s="1191">
        <v>1.5</v>
      </c>
      <c r="EC12" s="1185" t="e">
        <f>AVERAGEIF($BW:$BW,$BW12,$AR:$AR)</f>
        <v>#DIV/0!</v>
      </c>
      <c r="ED12" s="1444" t="e">
        <f>AVERAGEIFS($AR:$AR,$BW:$BW,$BW12,$BX:$BX,$BX12)</f>
        <v>#DIV/0!</v>
      </c>
      <c r="EE12" s="1191">
        <v>1.3</v>
      </c>
      <c r="EF12" s="1191" t="e">
        <f>AVERAGEIF($BW:$BW,$BW12,$AW:$AW)</f>
        <v>#DIV/0!</v>
      </c>
      <c r="EG12" s="1218" t="e">
        <f>AVERAGEIFS($AW:$AW,$BW:$BW,$BW12,$BX:$BX,$BX12)</f>
        <v>#DIV/0!</v>
      </c>
      <c r="EH12" s="1191">
        <v>1.3</v>
      </c>
      <c r="EI12" s="1191">
        <v>1.5</v>
      </c>
      <c r="EJ12" s="1191" t="e">
        <f>AVERAGEIF($BW:$BW,$BW12,$AX:$AX)</f>
        <v>#DIV/0!</v>
      </c>
      <c r="EK12" s="1218" t="e">
        <f>AVERAGEIFS($AX:$AX,$BW:$BW,$BW12,$BX:$BX,$BX12)</f>
        <v>#DIV/0!</v>
      </c>
      <c r="EL12" s="1191">
        <v>1.3</v>
      </c>
      <c r="EM12" s="1191">
        <v>1.5</v>
      </c>
      <c r="EN12" s="1185" t="e">
        <f>AVERAGEIF($BW:$BW,$BW12,$X:$X)</f>
        <v>#DIV/0!</v>
      </c>
      <c r="EO12" s="1444" t="e">
        <f>AVERAGEIFS($X:$X,$BW:$BW,$BW12,$BX:$BX,$BX12)</f>
        <v>#DIV/0!</v>
      </c>
      <c r="EP12" s="1191">
        <v>0.7</v>
      </c>
    </row>
    <row r="13" spans="1:146" ht="15.75" thickTop="1" thickBot="1">
      <c r="A13" s="698"/>
      <c r="B13" s="698"/>
      <c r="C13" s="931" t="str">
        <f>DatosP!A13</f>
        <v>TOTAL</v>
      </c>
      <c r="D13" s="932"/>
      <c r="E13" s="943">
        <f t="shared" ref="E13:W13" si="0">SUBTOTAL(9,E8:E12)</f>
        <v>0</v>
      </c>
      <c r="F13" s="933">
        <f t="shared" si="0"/>
        <v>0</v>
      </c>
      <c r="G13" s="933">
        <f t="shared" si="0"/>
        <v>0</v>
      </c>
      <c r="H13" s="934">
        <f t="shared" si="0"/>
        <v>0</v>
      </c>
      <c r="I13" s="1391">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864">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0.38388625592417064</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896">
        <f t="shared" si="2"/>
        <v>0</v>
      </c>
      <c r="BB13" s="934"/>
      <c r="BC13" s="934"/>
      <c r="BW13" s="1399"/>
      <c r="BX13" s="1399"/>
      <c r="BY13" s="1384"/>
      <c r="BZ13" s="1384"/>
      <c r="CA13" s="1384"/>
      <c r="CB13" s="1384"/>
      <c r="CC13" s="1384"/>
      <c r="CD13" s="1384"/>
      <c r="CE13" s="1392"/>
      <c r="CF13" s="1392"/>
      <c r="CG13" s="1392"/>
      <c r="CH13" s="1392"/>
      <c r="CI13" s="1392"/>
      <c r="CJ13" s="1392"/>
      <c r="CK13" s="1392"/>
      <c r="CL13" s="1392"/>
      <c r="CM13" s="1392"/>
      <c r="CN13" s="1392"/>
      <c r="CO13" s="1392"/>
      <c r="CP13" s="1392"/>
      <c r="CQ13" s="1392"/>
      <c r="CR13" s="1392"/>
      <c r="CS13" s="1392"/>
      <c r="CT13" s="1392"/>
      <c r="CU13" s="1392"/>
      <c r="CV13" s="1392"/>
      <c r="CW13" s="1392"/>
      <c r="CX13" s="1392"/>
      <c r="CY13" s="1392"/>
      <c r="CZ13" s="1392"/>
      <c r="DA13" s="1392"/>
      <c r="DB13" s="1392"/>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row>
    <row r="14" spans="1:146" ht="15" thickTop="1">
      <c r="A14" s="509"/>
      <c r="B14" s="509"/>
      <c r="C14" s="285" t="str">
        <f>DatosP!A14</f>
        <v xml:space="preserve">Jurisdicción Penal ( 2 ):                      </v>
      </c>
      <c r="D14" s="510"/>
      <c r="E14" s="701"/>
      <c r="F14" s="702"/>
      <c r="G14" s="702"/>
      <c r="H14" s="703"/>
      <c r="I14" s="1214"/>
      <c r="J14" s="662"/>
      <c r="K14" s="703"/>
      <c r="L14" s="682"/>
      <c r="M14" s="703"/>
      <c r="N14" s="703"/>
      <c r="O14" s="682"/>
      <c r="P14" s="682"/>
      <c r="Q14" s="1126"/>
      <c r="R14" s="1126"/>
      <c r="S14" s="682"/>
      <c r="T14" s="706"/>
      <c r="U14" s="299"/>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514"/>
      <c r="BB14" s="694"/>
      <c r="BC14" s="695"/>
      <c r="BW14" s="1273" t="str">
        <f>MID(Datos!EZ15,1,2)</f>
        <v/>
      </c>
      <c r="BX14" s="1273"/>
      <c r="BY14" s="1186"/>
      <c r="BZ14" s="1186"/>
      <c r="CA14" s="1186"/>
      <c r="CB14" s="1186"/>
      <c r="CC14" s="1186"/>
      <c r="CD14" s="1186"/>
      <c r="CE14" s="1218"/>
      <c r="CF14" s="1218"/>
      <c r="CG14" s="1218"/>
      <c r="CH14" s="1218"/>
      <c r="CI14" s="1218"/>
      <c r="CJ14" s="1218"/>
      <c r="CK14" s="1218"/>
      <c r="CL14" s="1218"/>
      <c r="CM14" s="1218"/>
      <c r="CN14" s="1218"/>
      <c r="CO14" s="1218"/>
      <c r="CP14" s="1218"/>
      <c r="CQ14" s="1218"/>
      <c r="CR14" s="1218"/>
      <c r="CS14" s="1218"/>
      <c r="CT14" s="1218"/>
      <c r="CU14" s="1218"/>
      <c r="CV14" s="1218"/>
      <c r="CW14" s="1218"/>
      <c r="CX14" s="1218"/>
      <c r="CY14" s="1218"/>
      <c r="CZ14" s="1218"/>
      <c r="DA14" s="1218"/>
      <c r="DB14" s="121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row>
    <row r="15" spans="1:146" s="718" customFormat="1" ht="14.25">
      <c r="A15" s="592">
        <f>DatosP!AO15</f>
        <v>0</v>
      </c>
      <c r="B15" s="593" t="s">
        <v>397</v>
      </c>
      <c r="C15" s="598" t="str">
        <f>DatosP!A15</f>
        <v xml:space="preserve">Jdos. Instrucción                               </v>
      </c>
      <c r="D15" s="599"/>
      <c r="E15" s="1167"/>
      <c r="F15" s="711"/>
      <c r="G15" s="712"/>
      <c r="H15" s="713"/>
      <c r="I15" s="1214"/>
      <c r="J15" s="682"/>
      <c r="K15" s="713"/>
      <c r="L15" s="682"/>
      <c r="M15" s="714"/>
      <c r="N15" s="714"/>
      <c r="O15" s="682"/>
      <c r="P15" s="682"/>
      <c r="Q15" s="1127"/>
      <c r="R15" s="1127"/>
      <c r="S15" s="682"/>
      <c r="T15" s="706"/>
      <c r="U15" s="225" t="str">
        <f>IF(ISNUMBER(DatosP!EO15),DatosP!EO15," - ")</f>
        <v xml:space="preserve"> - </v>
      </c>
      <c r="V15" s="1001" t="e">
        <f>(U15/DatosP!ER15)*factor_trimestre</f>
        <v>#VALUE!</v>
      </c>
      <c r="W15" s="680"/>
      <c r="X15" s="1449"/>
      <c r="Y15" s="1214"/>
      <c r="Z15" s="1214"/>
      <c r="AA15" s="1214"/>
      <c r="AB15" s="1214"/>
      <c r="AC15" s="679"/>
      <c r="AD15" s="1214"/>
      <c r="AE15" s="1214"/>
      <c r="AF15" s="1214"/>
      <c r="AG15" s="669"/>
      <c r="AH15" s="1214"/>
      <c r="AI15" s="1214"/>
      <c r="AJ15" s="1214"/>
      <c r="AK15" s="680"/>
      <c r="AL15" s="687"/>
      <c r="AM15" s="1214"/>
      <c r="AN15" s="1214"/>
      <c r="AO15" s="689" t="str">
        <f>IF(ISNUMBER(IF(D_I="SI",DatosP!K15/DatosP!J15,(DatosP!K15+DatosP!AE15)/(DatosP!J15+DatosP!AD15))),IF(D_I="SI",DatosP!K15/DatosP!J15,(DatosP!K15+DatosP!AE15)/(DatosP!J15+DatosP!AD15))," - ")</f>
        <v xml:space="preserve"> - </v>
      </c>
      <c r="AP15" s="1214" t="str">
        <f>IF(ISNUMBER(((IF(D_I="SI",DatosP!L15/DatosP!K15,(DatosP!L15+DatosP!AF15)/(DatosP!K15+DatosP!AE15)))*11)/factor_trimestre),((IF(D_I="SI",DatosP!L15/DatosP!K15,(DatosP!L15+DatosP!AF15)/(DatosP!K15+DatosP!AE15)))*11)/factor_trimestre," - ")</f>
        <v xml:space="preserve"> - </v>
      </c>
      <c r="AQ15" s="689"/>
      <c r="AR15" s="1449"/>
      <c r="AS15" s="691"/>
      <c r="AT15" s="707"/>
      <c r="AU15" s="717"/>
      <c r="AV15" s="717"/>
      <c r="AW15" s="1214"/>
      <c r="AX15" s="1214"/>
      <c r="AY15" s="710"/>
      <c r="AZ15" s="710"/>
      <c r="BA15" s="595"/>
      <c r="BB15" s="1440"/>
      <c r="BC15" s="695"/>
      <c r="BD15"/>
      <c r="BE15"/>
      <c r="BF15"/>
      <c r="BG15"/>
      <c r="BH15"/>
      <c r="BW15" s="1358" t="str">
        <f>IF(ISNUMBER(A15),MID(TEXT(DatosP!EZ15,"0000000000"),1,2),0)</f>
        <v>00</v>
      </c>
      <c r="BX15" s="1358" t="str">
        <f>IF(ISNUMBER(A15),MID(TEXT(DatosP!EZ15,"0000000000"),3,3),0)</f>
        <v>000</v>
      </c>
      <c r="BY15" s="1185" t="e">
        <f>AVERAGEIF($BW:$BW,BW15,$I:$I)</f>
        <v>#DIV/0!</v>
      </c>
      <c r="BZ15" s="1185" t="e">
        <f>AVERAGEIFS($I:$I,$BW:$BW,BW15,$BX:$BX,BX15)</f>
        <v>#DIV/0!</v>
      </c>
      <c r="CA15" s="1191">
        <v>1.3</v>
      </c>
      <c r="CB15" s="1185" t="e">
        <f>AVERAGEIF($BW:$BW,BW15,$X:$X)</f>
        <v>#DIV/0!</v>
      </c>
      <c r="CC15" s="1185" t="e">
        <f>AVERAGEIFS($X:$X,$BW:$BW,BW15,$BX:$BX,BX15)</f>
        <v>#DIV/0!</v>
      </c>
      <c r="CD15" s="1191">
        <v>0.7</v>
      </c>
      <c r="CE15" s="1191" t="e">
        <f>AVERAGEIF($BW:$BW,BW15,$Y:$Y)</f>
        <v>#DIV/0!</v>
      </c>
      <c r="CF15" s="1218" t="e">
        <f>AVERAGEIFS($Y:$Y,$BW:$BW,BW15,$BX:$BX,BX15)</f>
        <v>#DIV/0!</v>
      </c>
      <c r="CG15" s="1191">
        <v>0.7</v>
      </c>
      <c r="CH15" s="1191" t="e">
        <f>AVERAGEIF($BW:$BW,BW15,$Z:$Z)</f>
        <v>#DIV/0!</v>
      </c>
      <c r="CI15" s="1218" t="e">
        <f>AVERAGEIFS($Z:$Z,$BW:$BW,BW15,$BX:$BX,BX15)</f>
        <v>#DIV/0!</v>
      </c>
      <c r="CJ15" s="1191">
        <v>0.7</v>
      </c>
      <c r="CK15" s="1191" t="e">
        <f>AVERAGEIF($BW:$BW,BW15,$AA:$AA)</f>
        <v>#DIV/0!</v>
      </c>
      <c r="CL15" s="1218" t="e">
        <f>AVERAGEIFS($AA:$AA,$BW:$BW,BW15,$BX:$BX,BX15)</f>
        <v>#DIV/0!</v>
      </c>
      <c r="CM15" s="1191">
        <v>1.3</v>
      </c>
      <c r="CN15" s="1191">
        <v>1.5</v>
      </c>
      <c r="CO15" s="1191" t="e">
        <f>AVERAGEIF($BW:$BW,$BW15,$AB:$AB)</f>
        <v>#DIV/0!</v>
      </c>
      <c r="CP15" s="1218" t="e">
        <f>AVERAGEIFS($AB:$AB,$BW:$BW,$BW15,$BX:$BX,$BX15)</f>
        <v>#DIV/0!</v>
      </c>
      <c r="CQ15" s="1191">
        <v>1.3</v>
      </c>
      <c r="CR15" s="1191">
        <v>1.5</v>
      </c>
      <c r="CS15" s="1191">
        <v>1</v>
      </c>
      <c r="CT15" s="1191">
        <v>1</v>
      </c>
      <c r="CU15" s="1191">
        <v>25</v>
      </c>
      <c r="CV15" s="1191">
        <v>25</v>
      </c>
      <c r="CW15" s="1191">
        <v>1</v>
      </c>
      <c r="CX15" s="1191">
        <v>1</v>
      </c>
      <c r="CY15" s="1191">
        <v>10</v>
      </c>
      <c r="CZ15" s="1191">
        <v>10</v>
      </c>
      <c r="DA15" s="1191">
        <v>1</v>
      </c>
      <c r="DB15" s="1191">
        <v>1</v>
      </c>
      <c r="DC15" s="1191">
        <v>0</v>
      </c>
      <c r="DD15" s="1191">
        <v>0</v>
      </c>
      <c r="DE15" s="1191">
        <v>1</v>
      </c>
      <c r="DF15" s="1191">
        <v>1</v>
      </c>
      <c r="DG15" s="1191">
        <v>25</v>
      </c>
      <c r="DH15" s="1191">
        <v>25</v>
      </c>
      <c r="DI15" s="1191">
        <v>1</v>
      </c>
      <c r="DJ15" s="1191">
        <v>1</v>
      </c>
      <c r="DK15" s="1191">
        <v>10</v>
      </c>
      <c r="DL15" s="1191">
        <v>10</v>
      </c>
      <c r="DM15" s="1191">
        <v>1</v>
      </c>
      <c r="DN15" s="1191">
        <v>1</v>
      </c>
      <c r="DO15" s="1191">
        <v>0</v>
      </c>
      <c r="DP15" s="1191">
        <v>0</v>
      </c>
      <c r="DQ15" s="1191" t="e">
        <f>AVERAGEIF($BW:$BW,$BW15,$AM:$AM)</f>
        <v>#DIV/0!</v>
      </c>
      <c r="DR15" s="1218" t="e">
        <f>AVERAGEIFS($AM:$AM,$BW:$BW,$BW15,$BX:$BX,$BX15)</f>
        <v>#DIV/0!</v>
      </c>
      <c r="DS15" s="1191">
        <v>1.3</v>
      </c>
      <c r="DT15" s="1191">
        <v>1.5</v>
      </c>
      <c r="DU15" s="1191" t="e">
        <f>AVERAGEIF($BW:$BW,$BW15,$AN:$AN)</f>
        <v>#DIV/0!</v>
      </c>
      <c r="DV15" s="1218" t="e">
        <f>AVERAGEIFS($AN:$AN,$BW:$BW,$BW15,$BX:$BX,$BX15)</f>
        <v>#DIV/0!</v>
      </c>
      <c r="DW15" s="1191">
        <v>1.3</v>
      </c>
      <c r="DX15" s="1191">
        <v>1.5</v>
      </c>
      <c r="DY15" s="1191" t="e">
        <f>AVERAGEIF($BW:$BW,$BW15,$AP:$AP)</f>
        <v>#DIV/0!</v>
      </c>
      <c r="DZ15" s="1218" t="e">
        <f>AVERAGEIFS($AP:$AP,$BW:$BW,$BW15,$BX:$BX,$BX15)</f>
        <v>#DIV/0!</v>
      </c>
      <c r="EA15" s="1191">
        <v>1.3</v>
      </c>
      <c r="EB15" s="1191">
        <v>1.5</v>
      </c>
      <c r="EC15" s="1185" t="e">
        <f>AVERAGEIF($BW:$BW,$BW15,$AR:$AR)</f>
        <v>#DIV/0!</v>
      </c>
      <c r="ED15" s="1444" t="e">
        <f>AVERAGEIFS($AR:$AR,$BW:$BW,$BW15,$BX:$BX,$BX15)</f>
        <v>#DIV/0!</v>
      </c>
      <c r="EE15" s="1191">
        <v>1.3</v>
      </c>
      <c r="EF15" s="1191" t="e">
        <f>AVERAGEIF($BW:$BW,$BW15,$AW:$AW)</f>
        <v>#DIV/0!</v>
      </c>
      <c r="EG15" s="1218" t="e">
        <f>AVERAGEIFS($AW:$AW,$BW:$BW,$BW15,$BX:$BX,$BX15)</f>
        <v>#DIV/0!</v>
      </c>
      <c r="EH15" s="1191">
        <v>1.3</v>
      </c>
      <c r="EI15" s="1191">
        <v>1.5</v>
      </c>
      <c r="EJ15" s="1191" t="e">
        <f>AVERAGEIF($BW:$BW,$BW15,$AX:$AX)</f>
        <v>#DIV/0!</v>
      </c>
      <c r="EK15" s="1218" t="e">
        <f>AVERAGEIFS($AX:$AX,$BW:$BW,$BW15,$BX:$BX,$BX15)</f>
        <v>#DIV/0!</v>
      </c>
      <c r="EL15" s="1191">
        <v>1.3</v>
      </c>
      <c r="EM15" s="1191">
        <v>1.5</v>
      </c>
      <c r="EN15" s="1185" t="e">
        <f>AVERAGEIF($BW:$BW,$BW15,$X:$X)</f>
        <v>#DIV/0!</v>
      </c>
      <c r="EO15" s="1444" t="e">
        <f>AVERAGEIFS($X:$X,$BW:$BW,$BW15,$BX:$BX,$BX15)</f>
        <v>#DIV/0!</v>
      </c>
      <c r="EP15" s="1191">
        <v>0.7</v>
      </c>
    </row>
    <row r="16" spans="1:146" s="718" customFormat="1" ht="14.25">
      <c r="A16" s="1330">
        <f>DatosP!AO16</f>
        <v>0</v>
      </c>
      <c r="B16" s="1331" t="s">
        <v>397</v>
      </c>
      <c r="C16" s="1337" t="str">
        <f>DatosP!A16</f>
        <v xml:space="preserve">Jdos. Instrucción                               </v>
      </c>
      <c r="D16" s="1338"/>
      <c r="E16" s="1167"/>
      <c r="F16" s="711"/>
      <c r="G16" s="712"/>
      <c r="H16" s="713"/>
      <c r="I16" s="1214"/>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1449"/>
      <c r="Y16" s="1214"/>
      <c r="Z16" s="1214"/>
      <c r="AA16" s="1214"/>
      <c r="AB16" s="1214"/>
      <c r="AC16" s="679"/>
      <c r="AD16" s="1214"/>
      <c r="AE16" s="1214"/>
      <c r="AF16" s="1214"/>
      <c r="AG16" s="669"/>
      <c r="AH16" s="1214"/>
      <c r="AI16" s="1214"/>
      <c r="AJ16" s="1214"/>
      <c r="AK16" s="680"/>
      <c r="AL16" s="687"/>
      <c r="AM16" s="1214"/>
      <c r="AN16" s="1214"/>
      <c r="AO16" s="689" t="str">
        <f>IF(ISNUMBER(IF(D_I="SI",DatosP!K16/DatosP!J16,(DatosP!K16+DatosP!AE16)/(DatosP!J16+DatosP!AD16))),IF(D_I="SI",DatosP!K16/DatosP!J16,(DatosP!K16+DatosP!AE16)/(DatosP!J16+DatosP!AD16))," - ")</f>
        <v xml:space="preserve"> - </v>
      </c>
      <c r="AP16" s="1214" t="str">
        <f>IF(ISNUMBER(((IF(D_I="SI",DatosP!L16/DatosP!K16,(DatosP!L16+DatosP!AF16)/(DatosP!K16+DatosP!AE16)))*11)/factor_trimestre),((IF(D_I="SI",DatosP!L16/DatosP!K16,(DatosP!L16+DatosP!AF16)/(DatosP!K16+DatosP!AE16)))*11)/factor_trimestre," - ")</f>
        <v xml:space="preserve"> - </v>
      </c>
      <c r="AQ16" s="689"/>
      <c r="AR16" s="1449"/>
      <c r="AS16" s="691"/>
      <c r="AT16" s="707"/>
      <c r="AU16" s="717"/>
      <c r="AV16" s="717"/>
      <c r="AW16" s="1214"/>
      <c r="AX16" s="1214"/>
      <c r="AY16" s="710"/>
      <c r="AZ16" s="710"/>
      <c r="BA16" s="1334"/>
      <c r="BB16" s="1440"/>
      <c r="BC16" s="695"/>
      <c r="BD16" s="1453"/>
      <c r="BE16" s="1453"/>
      <c r="BF16" s="1453"/>
      <c r="BG16" s="1453"/>
      <c r="BH16" s="1453"/>
      <c r="BW16" s="1358" t="str">
        <f>IF(ISNUMBER(A16),MID(TEXT(DatosP!EZ16,"0000000000"),1,2),0)</f>
        <v>00</v>
      </c>
      <c r="BX16" s="1358" t="str">
        <f>IF(ISNUMBER(A16),MID(TEXT(DatosP!EZ16,"0000000000"),3,3),0)</f>
        <v>000</v>
      </c>
      <c r="BY16" s="1185" t="e">
        <f>AVERAGEIF($BW:$BW,BW16,$I:$I)</f>
        <v>#DIV/0!</v>
      </c>
      <c r="BZ16" s="1185" t="e">
        <f>AVERAGEIFS($I:$I,$BW:$BW,BW16,$BX:$BX,BX16)</f>
        <v>#DIV/0!</v>
      </c>
      <c r="CA16" s="1191">
        <v>1.3</v>
      </c>
      <c r="CB16" s="1185" t="e">
        <f>AVERAGEIF($BW:$BW,BW16,$X:$X)</f>
        <v>#DIV/0!</v>
      </c>
      <c r="CC16" s="1185" t="e">
        <f>AVERAGEIFS($X:$X,$BW:$BW,BW16,$BX:$BX,BX16)</f>
        <v>#DIV/0!</v>
      </c>
      <c r="CD16" s="1191">
        <v>0.7</v>
      </c>
      <c r="CE16" s="1191" t="e">
        <f>AVERAGEIF($BW:$BW,BW16,$Y:$Y)</f>
        <v>#DIV/0!</v>
      </c>
      <c r="CF16" s="1218" t="e">
        <f>AVERAGEIFS($Y:$Y,$BW:$BW,BW16,$BX:$BX,BX16)</f>
        <v>#DIV/0!</v>
      </c>
      <c r="CG16" s="1191">
        <v>0.7</v>
      </c>
      <c r="CH16" s="1191" t="e">
        <f>AVERAGEIF($BW:$BW,BW16,$Z:$Z)</f>
        <v>#DIV/0!</v>
      </c>
      <c r="CI16" s="1218" t="e">
        <f>AVERAGEIFS($Z:$Z,$BW:$BW,BW16,$BX:$BX,BX16)</f>
        <v>#DIV/0!</v>
      </c>
      <c r="CJ16" s="1191">
        <v>0.7</v>
      </c>
      <c r="CK16" s="1191" t="e">
        <f>AVERAGEIF($BW:$BW,BW16,$AA:$AA)</f>
        <v>#DIV/0!</v>
      </c>
      <c r="CL16" s="1218" t="e">
        <f>AVERAGEIFS($AA:$AA,$BW:$BW,BW16,$BX:$BX,BX16)</f>
        <v>#DIV/0!</v>
      </c>
      <c r="CM16" s="1191">
        <v>1.3</v>
      </c>
      <c r="CN16" s="1191">
        <v>1.5</v>
      </c>
      <c r="CO16" s="1191" t="e">
        <f>AVERAGEIF($BW:$BW,$BW16,$AB:$AB)</f>
        <v>#DIV/0!</v>
      </c>
      <c r="CP16" s="1218" t="e">
        <f>AVERAGEIFS($AB:$AB,$BW:$BW,$BW16,$BX:$BX,$BX16)</f>
        <v>#DIV/0!</v>
      </c>
      <c r="CQ16" s="1191">
        <v>1.3</v>
      </c>
      <c r="CR16" s="1191">
        <v>1.5</v>
      </c>
      <c r="CS16" s="1191">
        <v>1</v>
      </c>
      <c r="CT16" s="1191">
        <v>1</v>
      </c>
      <c r="CU16" s="1191">
        <v>25</v>
      </c>
      <c r="CV16" s="1191">
        <v>25</v>
      </c>
      <c r="CW16" s="1191">
        <v>1</v>
      </c>
      <c r="CX16" s="1191">
        <v>1</v>
      </c>
      <c r="CY16" s="1191">
        <v>10</v>
      </c>
      <c r="CZ16" s="1191">
        <v>10</v>
      </c>
      <c r="DA16" s="1191">
        <v>1</v>
      </c>
      <c r="DB16" s="1191">
        <v>1</v>
      </c>
      <c r="DC16" s="1191">
        <v>0</v>
      </c>
      <c r="DD16" s="1191">
        <v>0</v>
      </c>
      <c r="DE16" s="1191">
        <v>1</v>
      </c>
      <c r="DF16" s="1191">
        <v>1</v>
      </c>
      <c r="DG16" s="1191">
        <v>25</v>
      </c>
      <c r="DH16" s="1191">
        <v>25</v>
      </c>
      <c r="DI16" s="1191">
        <v>1</v>
      </c>
      <c r="DJ16" s="1191">
        <v>1</v>
      </c>
      <c r="DK16" s="1191">
        <v>10</v>
      </c>
      <c r="DL16" s="1191">
        <v>10</v>
      </c>
      <c r="DM16" s="1191">
        <v>1</v>
      </c>
      <c r="DN16" s="1191">
        <v>1</v>
      </c>
      <c r="DO16" s="1191">
        <v>0</v>
      </c>
      <c r="DP16" s="1191">
        <v>0</v>
      </c>
      <c r="DQ16" s="1191" t="e">
        <f>AVERAGEIF($BW:$BW,$BW16,$AM:$AM)</f>
        <v>#DIV/0!</v>
      </c>
      <c r="DR16" s="1218" t="e">
        <f>AVERAGEIFS($AM:$AM,$BW:$BW,$BW16,$BX:$BX,$BX16)</f>
        <v>#DIV/0!</v>
      </c>
      <c r="DS16" s="1191">
        <v>1.3</v>
      </c>
      <c r="DT16" s="1191">
        <v>1.5</v>
      </c>
      <c r="DU16" s="1191" t="e">
        <f>AVERAGEIF($BW:$BW,$BW16,$AN:$AN)</f>
        <v>#DIV/0!</v>
      </c>
      <c r="DV16" s="1218" t="e">
        <f>AVERAGEIFS($AN:$AN,$BW:$BW,$BW16,$BX:$BX,$BX16)</f>
        <v>#DIV/0!</v>
      </c>
      <c r="DW16" s="1191">
        <v>1.3</v>
      </c>
      <c r="DX16" s="1191">
        <v>1.5</v>
      </c>
      <c r="DY16" s="1191" t="e">
        <f>AVERAGEIF($BW:$BW,$BW16,$AP:$AP)</f>
        <v>#DIV/0!</v>
      </c>
      <c r="DZ16" s="1218" t="e">
        <f>AVERAGEIFS($AP:$AP,$BW:$BW,$BW16,$BX:$BX,$BX16)</f>
        <v>#DIV/0!</v>
      </c>
      <c r="EA16" s="1191">
        <v>1.3</v>
      </c>
      <c r="EB16" s="1191">
        <v>1.5</v>
      </c>
      <c r="EC16" s="1185" t="e">
        <f>AVERAGEIF($BW:$BW,$BW16,$AR:$AR)</f>
        <v>#DIV/0!</v>
      </c>
      <c r="ED16" s="1444" t="e">
        <f>AVERAGEIFS($AR:$AR,$BW:$BW,$BW16,$BX:$BX,$BX16)</f>
        <v>#DIV/0!</v>
      </c>
      <c r="EE16" s="1191">
        <v>1.3</v>
      </c>
      <c r="EF16" s="1191" t="e">
        <f>AVERAGEIF($BW:$BW,$BW16,$AW:$AW)</f>
        <v>#DIV/0!</v>
      </c>
      <c r="EG16" s="1218" t="e">
        <f>AVERAGEIFS($AW:$AW,$BW:$BW,$BW16,$BX:$BX,$BX16)</f>
        <v>#DIV/0!</v>
      </c>
      <c r="EH16" s="1191">
        <v>1.3</v>
      </c>
      <c r="EI16" s="1191">
        <v>1.5</v>
      </c>
      <c r="EJ16" s="1191" t="e">
        <f>AVERAGEIF($BW:$BW,$BW16,$AX:$AX)</f>
        <v>#DIV/0!</v>
      </c>
      <c r="EK16" s="1218" t="e">
        <f>AVERAGEIFS($AX:$AX,$BW:$BW,$BW16,$BX:$BX,$BX16)</f>
        <v>#DIV/0!</v>
      </c>
      <c r="EL16" s="1191">
        <v>1.3</v>
      </c>
      <c r="EM16" s="1191">
        <v>1.5</v>
      </c>
      <c r="EN16" s="1185" t="e">
        <f>AVERAGEIF($BW:$BW,$BW16,$X:$X)</f>
        <v>#DIV/0!</v>
      </c>
      <c r="EO16" s="1444" t="e">
        <f>AVERAGEIFS($X:$X,$BW:$BW,$BW16,$BX:$BX,$BX16)</f>
        <v>#DIV/0!</v>
      </c>
      <c r="EP16" s="1191">
        <v>0.7</v>
      </c>
    </row>
    <row r="17" spans="1:146" ht="15">
      <c r="A17" s="500">
        <f>DatosP!AO17</f>
        <v>0</v>
      </c>
      <c r="B17" s="506" t="s">
        <v>397</v>
      </c>
      <c r="C17" s="159" t="str">
        <f>DatosP!A17</f>
        <v xml:space="preserve">Jdos. 1ª Instª. e Instr.                        </v>
      </c>
      <c r="D17" s="501"/>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1214"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225" t="str">
        <f>IF(ISNUMBER(DatosP!EO17),DatosP!EO17," - ")</f>
        <v xml:space="preserve"> - </v>
      </c>
      <c r="V17" s="1001" t="e">
        <f>(U17/DatosP!ER17)*factor_trimestre</f>
        <v>#VALUE!</v>
      </c>
      <c r="W17" s="680" t="str">
        <f>IF(ISNUMBER(DatosP!BY17),DatosP!BY17," - ")</f>
        <v xml:space="preserve"> - </v>
      </c>
      <c r="X17" s="1449" t="str">
        <f>IF(ISNUMBER((W17*factor_trimestre)/DatosP!CN17),(W17*factor_trimestre)/DatosP!CN17,"-")</f>
        <v>-</v>
      </c>
      <c r="Y17" s="1214" t="str">
        <f>IF(ISNUMBER(IF(D_I="SI",DatosP!K17,DatosP!K17+DatosP!AE17)),IF(D_I="SI",DatosP!K17,DatosP!K17+DatosP!AE17)," - ")</f>
        <v xml:space="preserve"> - </v>
      </c>
      <c r="Z17" s="1214" t="str">
        <f>IF(ISNUMBER(DatosP!Q17),DatosP!Q17," - ")</f>
        <v xml:space="preserve"> - </v>
      </c>
      <c r="AA17" s="1214" t="str">
        <f>IF(ISNUMBER(IF(D_I="SI",DatosP!L17,DatosP!L17+DatosP!AF17)),IF(D_I="SI",DatosP!L17,DatosP!L17+DatosP!AF17)," - ")</f>
        <v xml:space="preserve"> - </v>
      </c>
      <c r="AB17" s="1214" t="str">
        <f>IF(ISNUMBER(DatosP!R17),DatosP!R17," - ")</f>
        <v xml:space="preserve"> - </v>
      </c>
      <c r="AC17" s="679" t="str">
        <f>IF(ISNUMBER(DatosP!BV17),DatosP!BV17," - ")</f>
        <v xml:space="preserve"> - </v>
      </c>
      <c r="AD17" s="1214" t="str">
        <f>IF(ISNUMBER(DatosP!CK17),DatosP!CK17," - ")</f>
        <v xml:space="preserve"> - </v>
      </c>
      <c r="AE17" s="1214" t="str">
        <f>IF(ISNUMBER(DatosP!CL17),DatosP!CL17," - ")</f>
        <v xml:space="preserve"> - </v>
      </c>
      <c r="AF17" s="1214" t="str">
        <f>IF(ISNUMBER(DatosP!CM17),DatosP!CM17," - ")</f>
        <v xml:space="preserve"> - </v>
      </c>
      <c r="AG17" s="669" t="str">
        <f>IF(ISNUMBER(DatosP!DV17),DatosP!DV17," - ")</f>
        <v xml:space="preserve"> - </v>
      </c>
      <c r="AH17" s="1214"/>
      <c r="AI17" s="1214"/>
      <c r="AJ17" s="1214"/>
      <c r="AK17" s="680" t="str">
        <f>IF(ISNUMBER(DatosP!M17),DatosP!M17," - ")</f>
        <v xml:space="preserve"> - </v>
      </c>
      <c r="AL17" s="687" t="str">
        <f>IF(ISNUMBER(DatosP!N17),DatosP!N17," - ")</f>
        <v xml:space="preserve"> - </v>
      </c>
      <c r="AM17" s="1214" t="str">
        <f>IF(ISNUMBER(DatosP!BW17),DatosP!BW17," - ")</f>
        <v xml:space="preserve"> - </v>
      </c>
      <c r="AN17" s="1214" t="str">
        <f>IF(ISNUMBER(DatosP!BX17),DatosP!BX17," - ")</f>
        <v xml:space="preserve"> - </v>
      </c>
      <c r="AO17" s="689" t="str">
        <f>IF(ISNUMBER(IF(D_I="SI",DatosP!K17/DatosP!J17,(DatosP!K17+DatosP!AE17)/(DatosP!J17+DatosP!AD17))),IF(D_I="SI",DatosP!K17/DatosP!J17,(DatosP!K17+DatosP!AE17)/(DatosP!J17+DatosP!AD17))," - ")</f>
        <v xml:space="preserve"> - </v>
      </c>
      <c r="AP17" s="1214"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1449"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1214" t="str">
        <f>IF(ISNUMBER(DatosP!EV17),DatosP!EV17," - ")</f>
        <v xml:space="preserve"> - </v>
      </c>
      <c r="AX17" s="1214" t="str">
        <f>IF(ISNUMBER(DatosP!CW17),DatosP!CW17," - ")</f>
        <v xml:space="preserve"> - </v>
      </c>
      <c r="AY17" s="694"/>
      <c r="AZ17" s="694"/>
      <c r="BA17" s="595"/>
      <c r="BB17" s="1440">
        <f>--DatosP!CX17</f>
        <v>0</v>
      </c>
      <c r="BC17" s="695">
        <f>DatosP!DU17</f>
        <v>0</v>
      </c>
      <c r="BI17" s="642"/>
      <c r="BW17" s="1358" t="str">
        <f>IF(ISNUMBER(A17),MID(TEXT(DatosP!EZ17,"0000000000"),1,2),0)</f>
        <v>00</v>
      </c>
      <c r="BX17" s="1358" t="str">
        <f>IF(ISNUMBER(A17),MID(TEXT(DatosP!EZ17,"0000000000"),3,3),0)</f>
        <v>000</v>
      </c>
      <c r="BY17" s="1185" t="e">
        <f>AVERAGEIF($BW:$BW,BW17,$I:$I)</f>
        <v>#DIV/0!</v>
      </c>
      <c r="BZ17" s="1185" t="e">
        <f>AVERAGEIFS($I:$I,$BW:$BW,BW17,$BX:$BX,BX17)</f>
        <v>#DIV/0!</v>
      </c>
      <c r="CA17" s="1191">
        <v>1.3</v>
      </c>
      <c r="CB17" s="1185" t="e">
        <f>AVERAGEIF($BW:$BW,BW17,$X:$X)</f>
        <v>#DIV/0!</v>
      </c>
      <c r="CC17" s="1185" t="e">
        <f>AVERAGEIFS($X:$X,$BW:$BW,BW17,$BX:$BX,BX17)</f>
        <v>#DIV/0!</v>
      </c>
      <c r="CD17" s="1191">
        <v>0.7</v>
      </c>
      <c r="CE17" s="1191" t="e">
        <f>AVERAGEIF($BW:$BW,BW17,$Y:$Y)</f>
        <v>#DIV/0!</v>
      </c>
      <c r="CF17" s="1218" t="e">
        <f>AVERAGEIFS($Y:$Y,$BW:$BW,BW17,$BX:$BX,BX17)</f>
        <v>#DIV/0!</v>
      </c>
      <c r="CG17" s="1191">
        <v>0.7</v>
      </c>
      <c r="CH17" s="1191" t="e">
        <f>AVERAGEIF($BW:$BW,BW17,$Z:$Z)</f>
        <v>#DIV/0!</v>
      </c>
      <c r="CI17" s="1218" t="e">
        <f>AVERAGEIFS($Z:$Z,$BW:$BW,BW17,$BX:$BX,BX17)</f>
        <v>#DIV/0!</v>
      </c>
      <c r="CJ17" s="1191">
        <v>0.7</v>
      </c>
      <c r="CK17" s="1191" t="e">
        <f>AVERAGEIF($BW:$BW,BW17,$AA:$AA)</f>
        <v>#DIV/0!</v>
      </c>
      <c r="CL17" s="1218" t="e">
        <f>AVERAGEIFS($AA:$AA,$BW:$BW,BW17,$BX:$BX,BX17)</f>
        <v>#DIV/0!</v>
      </c>
      <c r="CM17" s="1191">
        <v>1.3</v>
      </c>
      <c r="CN17" s="1191">
        <v>1.5</v>
      </c>
      <c r="CO17" s="1191" t="e">
        <f>AVERAGEIF($BW:$BW,$BW17,$AB:$AB)</f>
        <v>#DIV/0!</v>
      </c>
      <c r="CP17" s="1218" t="e">
        <f>AVERAGEIFS($AB:$AB,$BW:$BW,$BW17,$BX:$BX,$BX17)</f>
        <v>#DIV/0!</v>
      </c>
      <c r="CQ17" s="1191">
        <v>1.3</v>
      </c>
      <c r="CR17" s="1191">
        <v>1.5</v>
      </c>
      <c r="CS17" s="1191">
        <v>1</v>
      </c>
      <c r="CT17" s="1191">
        <v>1</v>
      </c>
      <c r="CU17" s="1191">
        <v>25</v>
      </c>
      <c r="CV17" s="1191">
        <v>25</v>
      </c>
      <c r="CW17" s="1191">
        <v>1</v>
      </c>
      <c r="CX17" s="1191">
        <v>1</v>
      </c>
      <c r="CY17" s="1191">
        <v>10</v>
      </c>
      <c r="CZ17" s="1191">
        <v>10</v>
      </c>
      <c r="DA17" s="1191">
        <v>1</v>
      </c>
      <c r="DB17" s="1191">
        <v>1</v>
      </c>
      <c r="DC17" s="1191">
        <v>0</v>
      </c>
      <c r="DD17" s="1191">
        <v>0</v>
      </c>
      <c r="DE17" s="1191">
        <v>1</v>
      </c>
      <c r="DF17" s="1191">
        <v>1</v>
      </c>
      <c r="DG17" s="1191">
        <v>25</v>
      </c>
      <c r="DH17" s="1191">
        <v>25</v>
      </c>
      <c r="DI17" s="1191">
        <v>1</v>
      </c>
      <c r="DJ17" s="1191">
        <v>1</v>
      </c>
      <c r="DK17" s="1191">
        <v>10</v>
      </c>
      <c r="DL17" s="1191">
        <v>10</v>
      </c>
      <c r="DM17" s="1191">
        <v>1</v>
      </c>
      <c r="DN17" s="1191">
        <v>1</v>
      </c>
      <c r="DO17" s="1191">
        <v>0</v>
      </c>
      <c r="DP17" s="1191">
        <v>0</v>
      </c>
      <c r="DQ17" s="1191" t="e">
        <f>AVERAGEIF($BW:$BW,$BW17,$AM:$AM)</f>
        <v>#DIV/0!</v>
      </c>
      <c r="DR17" s="1218" t="e">
        <f>AVERAGEIFS($AM:$AM,$BW:$BW,$BW17,$BX:$BX,$BX17)</f>
        <v>#DIV/0!</v>
      </c>
      <c r="DS17" s="1191">
        <v>1.3</v>
      </c>
      <c r="DT17" s="1191">
        <v>1.5</v>
      </c>
      <c r="DU17" s="1191" t="e">
        <f>AVERAGEIF($BW:$BW,$BW17,$AN:$AN)</f>
        <v>#DIV/0!</v>
      </c>
      <c r="DV17" s="1218" t="e">
        <f>AVERAGEIFS($AN:$AN,$BW:$BW,$BW17,$BX:$BX,$BX17)</f>
        <v>#DIV/0!</v>
      </c>
      <c r="DW17" s="1191">
        <v>1.3</v>
      </c>
      <c r="DX17" s="1191">
        <v>1.5</v>
      </c>
      <c r="DY17" s="1191" t="e">
        <f>AVERAGEIF($BW:$BW,$BW17,$AP:$AP)</f>
        <v>#DIV/0!</v>
      </c>
      <c r="DZ17" s="1218" t="e">
        <f>AVERAGEIFS($AP:$AP,$BW:$BW,$BW17,$BX:$BX,$BX17)</f>
        <v>#DIV/0!</v>
      </c>
      <c r="EA17" s="1191">
        <v>1.3</v>
      </c>
      <c r="EB17" s="1191">
        <v>1.5</v>
      </c>
      <c r="EC17" s="1185" t="e">
        <f>AVERAGEIF($BW:$BW,$BW17,$AR:$AR)</f>
        <v>#DIV/0!</v>
      </c>
      <c r="ED17" s="1444" t="e">
        <f>AVERAGEIFS($AR:$AR,$BW:$BW,$BW17,$BX:$BX,$BX17)</f>
        <v>#DIV/0!</v>
      </c>
      <c r="EE17" s="1191">
        <v>1.3</v>
      </c>
      <c r="EF17" s="1191" t="e">
        <f>AVERAGEIF($BW:$BW,$BW17,$AW:$AW)</f>
        <v>#DIV/0!</v>
      </c>
      <c r="EG17" s="1218" t="e">
        <f>AVERAGEIFS($AW:$AW,$BW:$BW,$BW17,$BX:$BX,$BX17)</f>
        <v>#DIV/0!</v>
      </c>
      <c r="EH17" s="1191">
        <v>1.3</v>
      </c>
      <c r="EI17" s="1191">
        <v>1.5</v>
      </c>
      <c r="EJ17" s="1191" t="e">
        <f>AVERAGEIF($BW:$BW,$BW17,$AX:$AX)</f>
        <v>#DIV/0!</v>
      </c>
      <c r="EK17" s="1218" t="e">
        <f>AVERAGEIFS($AX:$AX,$BW:$BW,$BW17,$BX:$BX,$BX17)</f>
        <v>#DIV/0!</v>
      </c>
      <c r="EL17" s="1191">
        <v>1.3</v>
      </c>
      <c r="EM17" s="1191">
        <v>1.5</v>
      </c>
      <c r="EN17" s="1185" t="e">
        <f>AVERAGEIF($BW:$BW,$BW17,$X:$X)</f>
        <v>#DIV/0!</v>
      </c>
      <c r="EO17" s="1444" t="e">
        <f>AVERAGEIFS($X:$X,$BW:$BW,$BW17,$BX:$BX,$BX17)</f>
        <v>#DIV/0!</v>
      </c>
      <c r="EP17" s="1191">
        <v>0.7</v>
      </c>
    </row>
    <row r="18" spans="1:146" ht="15.75" thickBot="1">
      <c r="A18" s="500">
        <f>DatosP!AO18</f>
        <v>0</v>
      </c>
      <c r="B18" s="506" t="s">
        <v>397</v>
      </c>
      <c r="C18" s="7" t="str">
        <f>DatosP!A18</f>
        <v>Jdos. Violencia contra la mujer</v>
      </c>
      <c r="D18" s="507"/>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1214"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225" t="str">
        <f>IF(ISNUMBER(DatosP!EO18),DatosP!EO18," - ")</f>
        <v xml:space="preserve"> - </v>
      </c>
      <c r="V18" s="1001" t="e">
        <f>(U18/DatosP!ER18)*factor_trimestre</f>
        <v>#VALUE!</v>
      </c>
      <c r="W18" s="680">
        <f>IF(ISNUMBER(DatosP!BY18+DatosP!BZ18),DatosP!BY18+DatosP!BZ18," - ")</f>
        <v>0</v>
      </c>
      <c r="X18" s="1449" t="str">
        <f>IF(ISNUMBER((W18*factor_trimestre)/DatosP!CN18),(W18*factor_trimestre)/DatosP!CN18,"-")</f>
        <v>-</v>
      </c>
      <c r="Y18" s="1214" t="str">
        <f>IF(ISNUMBER(IF(D_I="SI",DatosP!K18,DatosP!K18+DatosP!AE18)),IF(D_I="SI",DatosP!K18,DatosP!K18+DatosP!AE18)," - ")</f>
        <v xml:space="preserve"> - </v>
      </c>
      <c r="Z18" s="1214" t="str">
        <f>IF(ISNUMBER(DatosP!Q18),DatosP!Q18," - ")</f>
        <v xml:space="preserve"> - </v>
      </c>
      <c r="AA18" s="1214" t="str">
        <f>IF(ISNUMBER(DatosP!L18),DatosP!L18,"-")</f>
        <v>-</v>
      </c>
      <c r="AB18" s="1214" t="str">
        <f>IF(ISNUMBER(DatosP!R18),DatosP!R18," - ")</f>
        <v xml:space="preserve"> - </v>
      </c>
      <c r="AC18" s="679" t="str">
        <f>IF(ISNUMBER(DatosP!BV18),DatosP!BV18," - ")</f>
        <v xml:space="preserve"> - </v>
      </c>
      <c r="AD18" s="1214" t="str">
        <f>IF(ISNUMBER(DatosP!CK18),DatosP!CK18," - ")</f>
        <v xml:space="preserve"> - </v>
      </c>
      <c r="AE18" s="1214" t="str">
        <f>IF(ISNUMBER(DatosP!CL18),DatosP!CL18," - ")</f>
        <v xml:space="preserve"> - </v>
      </c>
      <c r="AF18" s="1214" t="str">
        <f>IF(ISNUMBER(DatosP!CM18),DatosP!CM18," - ")</f>
        <v xml:space="preserve"> - </v>
      </c>
      <c r="AG18" s="669" t="str">
        <f>IF(ISNUMBER(DatosP!DV18),DatosP!DV18," - ")</f>
        <v xml:space="preserve"> - </v>
      </c>
      <c r="AH18" s="1214"/>
      <c r="AI18" s="1214"/>
      <c r="AJ18" s="1214"/>
      <c r="AK18" s="680" t="str">
        <f>IF(ISNUMBER(DatosP!M18),DatosP!M18," - ")</f>
        <v xml:space="preserve"> - </v>
      </c>
      <c r="AL18" s="687" t="str">
        <f>IF(ISNUMBER(DatosP!N18),DatosP!N18," - ")</f>
        <v xml:space="preserve"> - </v>
      </c>
      <c r="AM18" s="1214" t="str">
        <f>IF(ISNUMBER(DatosP!BW18),DatosP!BW18," - ")</f>
        <v xml:space="preserve"> - </v>
      </c>
      <c r="AN18" s="1214" t="str">
        <f>IF(ISNUMBER(DatosP!BX18),DatosP!BX18," - ")</f>
        <v xml:space="preserve"> - </v>
      </c>
      <c r="AO18" s="689" t="str">
        <f>IF(ISNUMBER(IF(D_I="SI",DatosP!K18/DatosP!J18,(DatosP!K18+DatosP!AE18)/(DatosP!J18+DatosP!AD18))),IF(D_I="SI",DatosP!K18/DatosP!J18,(DatosP!K18+DatosP!AE18)/(DatosP!J18+DatosP!AD18))," - ")</f>
        <v xml:space="preserve"> - </v>
      </c>
      <c r="AP18" s="1214"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1449"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1214" t="str">
        <f>IF(ISNUMBER(DatosP!EV18),DatosP!EV18," - ")</f>
        <v xml:space="preserve"> - </v>
      </c>
      <c r="AX18" s="1214" t="str">
        <f>IF(ISNUMBER(DatosP!CW18),DatosP!CW18," - ")</f>
        <v xml:space="preserve"> - </v>
      </c>
      <c r="AY18" s="694"/>
      <c r="AZ18" s="694"/>
      <c r="BA18" s="265"/>
      <c r="BB18" s="1440">
        <f>--DatosP!CX18</f>
        <v>0</v>
      </c>
      <c r="BC18" s="695">
        <f>DatosP!DU18</f>
        <v>0</v>
      </c>
      <c r="BI18" s="642"/>
      <c r="BW18" s="1218" t="str">
        <f>IF(ISNUMBER(A18),MID(TEXT(DatosP!EZ18,"0000000000"),1,2),0)</f>
        <v>00</v>
      </c>
      <c r="BX18" s="1218" t="str">
        <f>IF(ISNUMBER(A18),MID(TEXT(DatosP!EZ18,"0000000000"),3,3),0)</f>
        <v>000</v>
      </c>
      <c r="BY18" s="1185" t="e">
        <f>AVERAGEIF($BW:$BW,BW18,$I:$I)</f>
        <v>#DIV/0!</v>
      </c>
      <c r="BZ18" s="1185" t="e">
        <f>AVERAGEIFS($I:$I,$BW:$BW,BW18,$BX:$BX,BX18)</f>
        <v>#DIV/0!</v>
      </c>
      <c r="CA18" s="1191">
        <v>1.3</v>
      </c>
      <c r="CB18" s="1185" t="e">
        <f>AVERAGEIF($BW:$BW,BW18,$X:$X)</f>
        <v>#DIV/0!</v>
      </c>
      <c r="CC18" s="1185" t="e">
        <f>AVERAGEIFS($X:$X,$BW:$BW,BW18,$BX:$BX,BX18)</f>
        <v>#DIV/0!</v>
      </c>
      <c r="CD18" s="1191">
        <v>0.7</v>
      </c>
      <c r="CE18" s="1191" t="e">
        <f>AVERAGEIF($BW:$BW,BW18,$Y:$Y)</f>
        <v>#DIV/0!</v>
      </c>
      <c r="CF18" s="1218" t="e">
        <f>AVERAGEIFS($Y:$Y,$BW:$BW,BW18,$BX:$BX,BX18)</f>
        <v>#DIV/0!</v>
      </c>
      <c r="CG18" s="1191">
        <v>0.7</v>
      </c>
      <c r="CH18" s="1191" t="e">
        <f>AVERAGEIF($BW:$BW,BW18,$Z:$Z)</f>
        <v>#DIV/0!</v>
      </c>
      <c r="CI18" s="1218" t="e">
        <f>AVERAGEIFS($Z:$Z,$BW:$BW,BW18,$BX:$BX,BX18)</f>
        <v>#DIV/0!</v>
      </c>
      <c r="CJ18" s="1191">
        <v>0.7</v>
      </c>
      <c r="CK18" s="1191" t="e">
        <f>AVERAGEIF($BW:$BW,BW18,$AA:$AA)</f>
        <v>#DIV/0!</v>
      </c>
      <c r="CL18" s="1218" t="e">
        <f>AVERAGEIFS($AA:$AA,$BW:$BW,BW18,$BX:$BX,BX18)</f>
        <v>#DIV/0!</v>
      </c>
      <c r="CM18" s="1191">
        <v>1.3</v>
      </c>
      <c r="CN18" s="1191">
        <v>1.5</v>
      </c>
      <c r="CO18" s="1191" t="e">
        <f>AVERAGEIF($BW:$BW,$BW18,$AB:$AB)</f>
        <v>#DIV/0!</v>
      </c>
      <c r="CP18" s="1218" t="e">
        <f>AVERAGEIFS($AB:$AB,$BW:$BW,$BW18,$BX:$BX,$BX18)</f>
        <v>#DIV/0!</v>
      </c>
      <c r="CQ18" s="1191">
        <v>1.3</v>
      </c>
      <c r="CR18" s="1191">
        <v>1.5</v>
      </c>
      <c r="CS18" s="1191">
        <v>1</v>
      </c>
      <c r="CT18" s="1191">
        <v>1</v>
      </c>
      <c r="CU18" s="1191">
        <v>25</v>
      </c>
      <c r="CV18" s="1191">
        <v>25</v>
      </c>
      <c r="CW18" s="1191">
        <v>1</v>
      </c>
      <c r="CX18" s="1191">
        <v>1</v>
      </c>
      <c r="CY18" s="1191">
        <v>10</v>
      </c>
      <c r="CZ18" s="1191">
        <v>10</v>
      </c>
      <c r="DA18" s="1191">
        <v>1</v>
      </c>
      <c r="DB18" s="1191">
        <v>1</v>
      </c>
      <c r="DC18" s="1191">
        <v>0</v>
      </c>
      <c r="DD18" s="1191">
        <v>0</v>
      </c>
      <c r="DE18" s="1191">
        <v>1</v>
      </c>
      <c r="DF18" s="1191">
        <v>1</v>
      </c>
      <c r="DG18" s="1191">
        <v>25</v>
      </c>
      <c r="DH18" s="1191">
        <v>25</v>
      </c>
      <c r="DI18" s="1191">
        <v>1</v>
      </c>
      <c r="DJ18" s="1191">
        <v>1</v>
      </c>
      <c r="DK18" s="1191">
        <v>10</v>
      </c>
      <c r="DL18" s="1191">
        <v>10</v>
      </c>
      <c r="DM18" s="1191">
        <v>1</v>
      </c>
      <c r="DN18" s="1191">
        <v>1</v>
      </c>
      <c r="DO18" s="1191">
        <v>0</v>
      </c>
      <c r="DP18" s="1191">
        <v>0</v>
      </c>
      <c r="DQ18" s="1191" t="e">
        <f>AVERAGEIF($BW:$BW,$BW18,$AM:$AM)</f>
        <v>#DIV/0!</v>
      </c>
      <c r="DR18" s="1218" t="e">
        <f>AVERAGEIFS($AM:$AM,$BW:$BW,$BW18,$BX:$BX,$BX18)</f>
        <v>#DIV/0!</v>
      </c>
      <c r="DS18" s="1191">
        <v>1.3</v>
      </c>
      <c r="DT18" s="1191">
        <v>1.5</v>
      </c>
      <c r="DU18" s="1191" t="e">
        <f>AVERAGEIF($BW:$BW,$BW18,$AN:$AN)</f>
        <v>#DIV/0!</v>
      </c>
      <c r="DV18" s="1218" t="e">
        <f>AVERAGEIFS($AN:$AN,$BW:$BW,$BW18,$BX:$BX,$BX18)</f>
        <v>#DIV/0!</v>
      </c>
      <c r="DW18" s="1191">
        <v>1.3</v>
      </c>
      <c r="DX18" s="1191">
        <v>1.5</v>
      </c>
      <c r="DY18" s="1191" t="e">
        <f>AVERAGEIF($BW:$BW,$BW18,$AP:$AP)</f>
        <v>#DIV/0!</v>
      </c>
      <c r="DZ18" s="1218" t="e">
        <f>AVERAGEIFS($AP:$AP,$BW:$BW,$BW18,$BX:$BX,$BX18)</f>
        <v>#DIV/0!</v>
      </c>
      <c r="EA18" s="1191">
        <v>1.3</v>
      </c>
      <c r="EB18" s="1191">
        <v>1.5</v>
      </c>
      <c r="EC18" s="1185" t="e">
        <f>AVERAGEIF($BW:$BW,$BW18,$AR:$AR)</f>
        <v>#DIV/0!</v>
      </c>
      <c r="ED18" s="1444" t="e">
        <f>AVERAGEIFS($AR:$AR,$BW:$BW,$BW18,$BX:$BX,$BX18)</f>
        <v>#DIV/0!</v>
      </c>
      <c r="EE18" s="1191">
        <v>1.3</v>
      </c>
      <c r="EF18" s="1191" t="e">
        <f>AVERAGEIF($BW:$BW,$BW18,$AW:$AW)</f>
        <v>#DIV/0!</v>
      </c>
      <c r="EG18" s="1218" t="e">
        <f>AVERAGEIFS($AW:$AW,$BW:$BW,$BW18,$BX:$BX,$BX18)</f>
        <v>#DIV/0!</v>
      </c>
      <c r="EH18" s="1191">
        <v>1.3</v>
      </c>
      <c r="EI18" s="1191">
        <v>1.5</v>
      </c>
      <c r="EJ18" s="1191" t="e">
        <f>AVERAGEIF($BW:$BW,$BW18,$AX:$AX)</f>
        <v>#DIV/0!</v>
      </c>
      <c r="EK18" s="1218" t="e">
        <f>AVERAGEIFS($AX:$AX,$BW:$BW,$BW18,$BX:$BX,$BX18)</f>
        <v>#DIV/0!</v>
      </c>
      <c r="EL18" s="1191">
        <v>1.3</v>
      </c>
      <c r="EM18" s="1191">
        <v>1.5</v>
      </c>
      <c r="EN18" s="1185" t="e">
        <f>AVERAGEIF($BW:$BW,$BW18,$X:$X)</f>
        <v>#DIV/0!</v>
      </c>
      <c r="EO18" s="1444" t="e">
        <f>AVERAGEIFS($X:$X,$BW:$BW,$BW18,$BX:$BX,$BX18)</f>
        <v>#DIV/0!</v>
      </c>
      <c r="EP18" s="1191">
        <v>0.7</v>
      </c>
    </row>
    <row r="19" spans="1:146" ht="15.75" thickTop="1" thickBot="1">
      <c r="A19" s="698"/>
      <c r="B19" s="698"/>
      <c r="C19" s="931" t="str">
        <f>DatosP!A19</f>
        <v>TOTAL</v>
      </c>
      <c r="D19" s="932"/>
      <c r="E19" s="943">
        <f>SUBTOTAL(9,E15:E18)</f>
        <v>0</v>
      </c>
      <c r="F19" s="933">
        <f>SUBTOTAL(9,F15:F18)</f>
        <v>0</v>
      </c>
      <c r="G19" s="933">
        <f>SUBTOTAL(9,G15:G18)</f>
        <v>0</v>
      </c>
      <c r="H19" s="934">
        <f>SUBTOTAL(9,H15:H18)</f>
        <v>0</v>
      </c>
      <c r="I19" s="1391">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861">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896"/>
      <c r="BB19" s="934"/>
      <c r="BC19" s="942"/>
      <c r="BW19" s="1399"/>
      <c r="BX19" s="1399"/>
      <c r="BY19" s="1187"/>
      <c r="BZ19" s="1187"/>
      <c r="CA19" s="1187"/>
      <c r="CB19" s="1187"/>
      <c r="CC19" s="1187"/>
      <c r="CD19" s="1187"/>
      <c r="CE19" s="1392"/>
      <c r="CF19" s="1392"/>
      <c r="CG19" s="1392"/>
      <c r="CH19" s="1392"/>
      <c r="CI19" s="1392"/>
      <c r="CJ19" s="1392"/>
      <c r="CK19" s="1392"/>
      <c r="CL19" s="1392"/>
      <c r="CM19" s="1392"/>
      <c r="CN19" s="1392"/>
      <c r="CO19" s="1392"/>
      <c r="CP19" s="1392"/>
      <c r="CQ19" s="1392"/>
      <c r="CR19" s="1392"/>
      <c r="CS19" s="1392"/>
      <c r="CT19" s="1392"/>
      <c r="CU19" s="1392"/>
      <c r="CV19" s="1392"/>
      <c r="CW19" s="1392"/>
      <c r="CX19" s="1392"/>
      <c r="CY19" s="1392"/>
      <c r="CZ19" s="1392"/>
      <c r="DA19" s="1392"/>
      <c r="DB19" s="1392"/>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row>
    <row r="20" spans="1:146"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1367">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877">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1183"/>
      <c r="BX20" s="1183"/>
      <c r="BY20" s="1188"/>
      <c r="BZ20" s="1188"/>
      <c r="CA20" s="1188"/>
      <c r="CB20" s="1188"/>
      <c r="CC20" s="1188"/>
      <c r="CD20" s="1188"/>
      <c r="CE20" s="1368"/>
      <c r="CF20" s="1368"/>
      <c r="CG20" s="1368"/>
      <c r="CH20" s="1368"/>
      <c r="CI20" s="1368"/>
      <c r="CJ20" s="1368"/>
      <c r="CK20" s="1368"/>
      <c r="CL20" s="1368"/>
      <c r="CM20" s="1368"/>
      <c r="CN20" s="1368"/>
      <c r="CO20" s="1368"/>
      <c r="CP20" s="1368"/>
      <c r="CQ20" s="1368"/>
      <c r="CR20" s="1368"/>
      <c r="CS20" s="1368"/>
      <c r="CT20" s="1368"/>
      <c r="CU20" s="1368"/>
      <c r="CV20" s="1368"/>
      <c r="CW20" s="1368"/>
      <c r="CX20" s="1368"/>
      <c r="CY20" s="1368"/>
      <c r="CZ20" s="1368"/>
      <c r="DA20" s="1368"/>
      <c r="DB20" s="136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823"/>
      <c r="ED20" s="823"/>
      <c r="EE20" s="1368"/>
      <c r="EF20" s="1368"/>
      <c r="EG20" s="1368"/>
      <c r="EH20" s="1368"/>
      <c r="EI20" s="1368"/>
      <c r="EJ20" s="1368"/>
      <c r="EK20" s="1368"/>
      <c r="EL20" s="1368"/>
      <c r="EM20" s="1368"/>
      <c r="EN20" s="823"/>
      <c r="EO20" s="823"/>
      <c r="EP20" s="1368"/>
    </row>
    <row r="21" spans="1:146"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1362"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812">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1365"/>
      <c r="BX21" s="1365"/>
      <c r="BY21" s="1189"/>
      <c r="BZ21" s="1189"/>
      <c r="CA21" s="1189"/>
      <c r="CB21" s="1189"/>
      <c r="CC21" s="1189"/>
      <c r="CD21" s="1189"/>
      <c r="CE21" s="1363"/>
      <c r="CF21" s="1363"/>
      <c r="CG21" s="1363"/>
      <c r="CH21" s="1363"/>
      <c r="CI21" s="1363"/>
      <c r="CJ21" s="1363"/>
      <c r="CK21" s="1363"/>
      <c r="CL21" s="1363"/>
      <c r="CM21" s="1363"/>
      <c r="CN21" s="1363"/>
      <c r="CO21" s="1363"/>
      <c r="CP21" s="1363"/>
      <c r="CQ21" s="1363"/>
      <c r="CR21" s="1363"/>
      <c r="CS21" s="1363"/>
      <c r="CT21" s="1363"/>
      <c r="CU21" s="1363"/>
      <c r="CV21" s="1363"/>
      <c r="CW21" s="1363"/>
      <c r="CX21" s="1363"/>
      <c r="CY21" s="1363"/>
      <c r="CZ21" s="1363"/>
      <c r="DA21" s="1363"/>
      <c r="DB21" s="1363"/>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445"/>
      <c r="ED21" s="1445"/>
      <c r="EE21" s="1363"/>
      <c r="EF21" s="1363"/>
      <c r="EG21" s="1363"/>
      <c r="EH21" s="1363"/>
      <c r="EI21" s="1363"/>
      <c r="EJ21" s="1363"/>
      <c r="EK21" s="1363"/>
      <c r="EL21" s="1363"/>
      <c r="EM21" s="1363"/>
      <c r="EN21" s="1445"/>
      <c r="EO21" s="1445"/>
      <c r="EP21" s="1363"/>
    </row>
    <row r="22" spans="1:146"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1298">
        <f>IF(ISNUMBER(STDEV(I8:I19)),STDEV(I8:I19),"-")</f>
        <v>0</v>
      </c>
      <c r="J22" s="736">
        <f>IF(ISNUMBER(STDEV(J8:J19)),STDEV(J8:J19),"-")</f>
        <v>0</v>
      </c>
      <c r="K22" s="735"/>
      <c r="L22" s="735"/>
      <c r="M22" s="735"/>
      <c r="N22" s="735"/>
      <c r="O22" s="735"/>
      <c r="P22" s="735"/>
      <c r="Q22" s="1130"/>
      <c r="R22" s="1130"/>
      <c r="S22" s="735"/>
      <c r="T22" s="1130"/>
      <c r="U22" s="300"/>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0.27144857476829554</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04"/>
      <c r="BX22" s="1304"/>
      <c r="BY22" s="1190"/>
      <c r="BZ22" s="1190"/>
      <c r="CA22" s="1190"/>
      <c r="CB22" s="1190"/>
      <c r="CC22" s="1190"/>
      <c r="CD22" s="1190"/>
      <c r="CE22" s="1302"/>
      <c r="CF22" s="1302"/>
      <c r="CG22" s="1302"/>
      <c r="CH22" s="1302"/>
      <c r="CI22" s="1302"/>
      <c r="CJ22" s="1302"/>
      <c r="CK22" s="1302"/>
      <c r="CL22" s="1302"/>
      <c r="CM22" s="1302"/>
      <c r="CN22" s="1302"/>
      <c r="CO22" s="1302"/>
      <c r="CP22" s="1302"/>
      <c r="CQ22" s="1302"/>
      <c r="CR22" s="1302"/>
      <c r="CS22" s="1302"/>
      <c r="CT22" s="1302"/>
      <c r="CU22" s="1302"/>
      <c r="CV22" s="1302"/>
      <c r="CW22" s="1302"/>
      <c r="CX22" s="1302"/>
      <c r="CY22" s="1302"/>
      <c r="CZ22" s="1302"/>
      <c r="DA22" s="1302"/>
      <c r="DB22" s="1302"/>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446"/>
      <c r="ED22" s="1446"/>
      <c r="EE22" s="1302"/>
      <c r="EF22" s="1302"/>
      <c r="EG22" s="1302"/>
      <c r="EH22" s="1302"/>
      <c r="EI22" s="1302"/>
      <c r="EJ22" s="1302"/>
      <c r="EK22" s="1302"/>
      <c r="EL22" s="1302"/>
      <c r="EM22" s="1302"/>
      <c r="EN22" s="1446"/>
      <c r="EO22" s="1446"/>
      <c r="EP22" s="1302"/>
    </row>
    <row r="23" spans="1:146" ht="12" customHeight="1" thickTop="1">
      <c r="C23" s="71"/>
      <c r="D23" s="71"/>
      <c r="F23" s="749"/>
      <c r="G23" s="749"/>
      <c r="H23" s="749"/>
      <c r="I23" s="1311"/>
      <c r="K23" s="749"/>
      <c r="L23" s="749"/>
      <c r="M23" s="750"/>
      <c r="N23" s="750"/>
      <c r="O23" s="749"/>
      <c r="P23" s="749"/>
      <c r="Q23" s="1131"/>
      <c r="R23" s="1131"/>
      <c r="S23" s="749"/>
      <c r="T23" s="1131"/>
      <c r="U23" s="95"/>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563"/>
      <c r="BB23" s="754"/>
      <c r="BC23" s="749"/>
      <c r="BW23" s="1311"/>
      <c r="BX23" s="1311"/>
      <c r="BY23" s="1353"/>
      <c r="BZ23" s="1353"/>
      <c r="CA23" s="1353"/>
      <c r="CB23" s="1353"/>
      <c r="CC23" s="1353"/>
      <c r="CD23" s="1353"/>
      <c r="CE23" s="1311"/>
      <c r="CF23" s="1311"/>
      <c r="CG23" s="1311"/>
      <c r="CH23" s="1311"/>
      <c r="CI23" s="1311"/>
      <c r="CJ23" s="1311"/>
      <c r="CK23" s="1311"/>
      <c r="CL23" s="1311"/>
      <c r="CM23" s="1311"/>
      <c r="CN23" s="1311"/>
      <c r="CO23" s="1311"/>
      <c r="CP23" s="1311"/>
      <c r="CQ23" s="1311"/>
      <c r="CR23" s="1311"/>
      <c r="CS23" s="1311"/>
      <c r="CT23" s="1311"/>
      <c r="CU23" s="1311"/>
      <c r="CV23" s="1311"/>
      <c r="CW23" s="1311"/>
      <c r="CX23" s="1311"/>
      <c r="CY23" s="1311"/>
      <c r="CZ23" s="1311"/>
      <c r="DA23" s="1311"/>
      <c r="DB23" s="1311"/>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447"/>
      <c r="ED23" s="1447"/>
      <c r="EE23" s="1311"/>
      <c r="EF23" s="1311"/>
      <c r="EG23" s="1311"/>
      <c r="EH23" s="1311"/>
      <c r="EI23" s="1311"/>
      <c r="EJ23" s="1311"/>
      <c r="EK23" s="1311"/>
      <c r="EL23" s="1311"/>
      <c r="EM23" s="1311"/>
      <c r="EN23" s="1447"/>
      <c r="EO23" s="1447"/>
      <c r="EP23" s="1311"/>
    </row>
    <row r="24" spans="1:146" ht="14.25">
      <c r="C24" s="159"/>
      <c r="D24" s="517"/>
      <c r="E24" s="755"/>
      <c r="F24" s="756"/>
      <c r="G24" s="687"/>
      <c r="H24" s="757"/>
      <c r="I24" s="1316"/>
      <c r="J24" s="758"/>
      <c r="K24" s="757"/>
      <c r="L24" s="757"/>
      <c r="M24" s="723"/>
      <c r="N24" s="723"/>
      <c r="O24" s="757"/>
      <c r="P24" s="757"/>
      <c r="Q24" s="1124"/>
      <c r="R24" s="1124"/>
      <c r="S24" s="757"/>
      <c r="T24" s="1124"/>
      <c r="U24" s="301"/>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568"/>
      <c r="BB24" s="761"/>
      <c r="BC24" s="761"/>
      <c r="BW24" s="1316"/>
      <c r="BX24" s="1316"/>
      <c r="BY24" s="1235"/>
      <c r="BZ24" s="1235"/>
      <c r="CA24" s="1235"/>
      <c r="CB24" s="1235"/>
      <c r="CC24" s="1235"/>
      <c r="CD24" s="1235"/>
      <c r="CE24" s="1317"/>
      <c r="CF24" s="1317"/>
      <c r="CG24" s="1317"/>
      <c r="CH24" s="1317"/>
      <c r="CI24" s="1317"/>
      <c r="CJ24" s="1317"/>
      <c r="CK24" s="1317"/>
      <c r="CL24" s="1317"/>
      <c r="CM24" s="1317"/>
      <c r="CN24" s="1317"/>
      <c r="CO24" s="1317"/>
      <c r="CP24" s="1317"/>
      <c r="CQ24" s="1317"/>
      <c r="CR24" s="1317"/>
      <c r="CS24" s="1317"/>
      <c r="CT24" s="1317"/>
      <c r="CU24" s="1317"/>
      <c r="CV24" s="1317"/>
      <c r="CW24" s="1317"/>
      <c r="CX24" s="1317"/>
      <c r="CY24" s="1317"/>
      <c r="CZ24" s="1317"/>
      <c r="DA24" s="1317"/>
      <c r="DB24" s="1317"/>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448"/>
      <c r="ED24" s="1448"/>
      <c r="EE24" s="1317"/>
      <c r="EF24" s="1317"/>
      <c r="EG24" s="1317"/>
      <c r="EH24" s="1317"/>
      <c r="EI24" s="1317"/>
      <c r="EJ24" s="1317"/>
      <c r="EK24" s="1317"/>
      <c r="EL24" s="1317"/>
      <c r="EM24" s="1317"/>
      <c r="EN24" s="1448"/>
      <c r="EO24" s="1448"/>
      <c r="EP24" s="1317"/>
    </row>
    <row r="25" spans="1:146" ht="14.25">
      <c r="C25" s="7"/>
      <c r="D25" s="520"/>
      <c r="E25" s="755"/>
      <c r="F25" s="756"/>
      <c r="G25" s="687"/>
      <c r="H25" s="757"/>
      <c r="I25" s="1316"/>
      <c r="J25" s="758"/>
      <c r="K25" s="757"/>
      <c r="L25" s="757"/>
      <c r="M25" s="723"/>
      <c r="N25" s="723"/>
      <c r="O25" s="757"/>
      <c r="P25" s="757"/>
      <c r="Q25" s="1124"/>
      <c r="R25" s="1124"/>
      <c r="S25" s="757"/>
      <c r="T25" s="1124"/>
      <c r="U25" s="301"/>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568"/>
      <c r="BB25" s="761"/>
      <c r="BC25" s="761"/>
      <c r="BW25" s="1316"/>
      <c r="BX25" s="1316"/>
      <c r="BY25" s="1235"/>
      <c r="BZ25" s="1235"/>
      <c r="CA25" s="1235"/>
      <c r="CB25" s="1235"/>
      <c r="CC25" s="1235"/>
      <c r="CD25" s="1235"/>
      <c r="CE25" s="1317"/>
      <c r="CF25" s="1317"/>
      <c r="CG25" s="1317"/>
      <c r="CH25" s="1317"/>
      <c r="CI25" s="1317"/>
      <c r="CJ25" s="1317"/>
      <c r="CK25" s="1317"/>
      <c r="CL25" s="1317"/>
      <c r="CM25" s="1317"/>
      <c r="CN25" s="1317"/>
      <c r="CO25" s="1317"/>
      <c r="CP25" s="1317"/>
      <c r="CQ25" s="1317"/>
      <c r="CR25" s="1317"/>
      <c r="CS25" s="1317"/>
      <c r="CT25" s="1317"/>
      <c r="CU25" s="1317"/>
      <c r="CV25" s="1317"/>
      <c r="CW25" s="1317"/>
      <c r="CX25" s="1317"/>
      <c r="CY25" s="1317"/>
      <c r="CZ25" s="1317"/>
      <c r="DA25" s="1317"/>
      <c r="DB25" s="1317"/>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448"/>
      <c r="ED25" s="1448"/>
      <c r="EE25" s="1317"/>
      <c r="EF25" s="1317"/>
      <c r="EG25" s="1317"/>
      <c r="EH25" s="1317"/>
      <c r="EI25" s="1317"/>
      <c r="EJ25" s="1317"/>
      <c r="EK25" s="1317"/>
      <c r="EL25" s="1317"/>
      <c r="EM25" s="1317"/>
      <c r="EN25" s="1448"/>
      <c r="EO25" s="1448"/>
      <c r="EP25" s="1317"/>
    </row>
    <row r="26" spans="1:146" ht="12.75" hidden="1" customHeight="1">
      <c r="C26" s="521" t="s">
        <v>263</v>
      </c>
      <c r="D26" s="520"/>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1294"/>
      <c r="BX26" s="1294"/>
      <c r="BY26" s="1346"/>
      <c r="BZ26" s="1346"/>
      <c r="CA26" s="1346"/>
      <c r="CB26" s="1346"/>
      <c r="CC26" s="1346"/>
      <c r="CD26" s="1346"/>
      <c r="CE26" s="1277"/>
      <c r="CF26" s="1277"/>
      <c r="CG26" s="1277"/>
      <c r="CH26" s="1277"/>
      <c r="CI26" s="1277"/>
      <c r="CJ26" s="1277"/>
      <c r="CK26" s="1277"/>
      <c r="CL26" s="1277"/>
      <c r="CM26" s="1277"/>
      <c r="CN26" s="1277"/>
      <c r="CO26" s="1277"/>
      <c r="CP26" s="1277"/>
      <c r="CQ26" s="1277"/>
      <c r="CR26" s="1277"/>
      <c r="CS26" s="1277"/>
      <c r="CT26" s="1277"/>
      <c r="CU26" s="1277"/>
      <c r="CV26" s="1277"/>
      <c r="CW26" s="1277"/>
      <c r="CX26" s="1277"/>
      <c r="CY26" s="1277"/>
      <c r="CZ26" s="1277"/>
      <c r="DA26" s="1277"/>
      <c r="DB26" s="1277"/>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row>
    <row r="27" spans="1:146" ht="12.75" hidden="1" customHeight="1">
      <c r="C27" s="521" t="s">
        <v>264</v>
      </c>
      <c r="D27" s="520"/>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1277"/>
      <c r="BX27" s="1277"/>
      <c r="BY27" s="1347"/>
      <c r="BZ27" s="1347"/>
      <c r="CA27" s="1347"/>
      <c r="CB27" s="1347"/>
      <c r="CC27" s="1347"/>
      <c r="CD27" s="1347"/>
      <c r="CE27" s="1277"/>
      <c r="CF27" s="1277"/>
      <c r="CG27" s="1277"/>
      <c r="CH27" s="1277"/>
      <c r="CI27" s="1277"/>
      <c r="CJ27" s="1277"/>
      <c r="CK27" s="1277"/>
      <c r="CL27" s="1277"/>
      <c r="CM27" s="1277"/>
      <c r="CN27" s="1277"/>
      <c r="CO27" s="1277"/>
      <c r="CP27" s="1277"/>
      <c r="CQ27" s="1277"/>
      <c r="CR27" s="1277"/>
      <c r="CS27" s="1277"/>
      <c r="CT27" s="1277"/>
      <c r="CU27" s="1277"/>
      <c r="CV27" s="1277"/>
      <c r="CW27" s="1277"/>
      <c r="CX27" s="1277"/>
      <c r="CY27" s="1277"/>
      <c r="CZ27" s="1277"/>
      <c r="DA27" s="1277"/>
      <c r="DB27" s="1277"/>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row>
    <row r="28" spans="1:146">
      <c r="C28" s="71"/>
      <c r="D28" s="71"/>
    </row>
    <row r="31" spans="1:146">
      <c r="C31" s="642" t="str">
        <f>Criterios!A4</f>
        <v>Fecha Informe: 18 jun. 2026</v>
      </c>
    </row>
    <row r="33" spans="3:4">
      <c r="C33" s="771"/>
      <c r="D33" s="771"/>
    </row>
  </sheetData>
  <sheetProtection algorithmName="SHA-512" hashValue="MTwcN7TLpSxxxZSFYkSFrISCBWkFJYWkTWlPytBo35ELcn/eLiUPFhFhfKWDhfwEkv0Ca8M2iqCVRuuAUKGBRg==" saltValue="qQ7HLDpnoLtjGu+dtfMn0A==" spinCount="100000" sheet="1" objects="1" scenarios="1"/>
  <mergeCells count="126">
    <mergeCell ref="EN5:EN7"/>
    <mergeCell ref="EO5:EO7"/>
    <mergeCell ref="EP5:EP7"/>
    <mergeCell ref="EI5:EI7"/>
    <mergeCell ref="EJ5:EJ7"/>
    <mergeCell ref="EK5:EK7"/>
    <mergeCell ref="EL5:EL7"/>
    <mergeCell ref="EM5:EM7"/>
    <mergeCell ref="ED5:ED7"/>
    <mergeCell ref="EE5:EE7"/>
    <mergeCell ref="EF5:EF7"/>
    <mergeCell ref="EG5:EG7"/>
    <mergeCell ref="EH5:EH7"/>
    <mergeCell ref="DY5:DY7"/>
    <mergeCell ref="DZ5:DZ7"/>
    <mergeCell ref="EA5:EA7"/>
    <mergeCell ref="EB5:EB7"/>
    <mergeCell ref="EC5:EC7"/>
    <mergeCell ref="DT5:DT7"/>
    <mergeCell ref="DU5:DU7"/>
    <mergeCell ref="DV5:DV7"/>
    <mergeCell ref="DW5:DW7"/>
    <mergeCell ref="DX5:DX7"/>
    <mergeCell ref="DO5:DO7"/>
    <mergeCell ref="DP5:DP7"/>
    <mergeCell ref="DQ5:DQ7"/>
    <mergeCell ref="DR5:DR7"/>
    <mergeCell ref="DS5:DS7"/>
    <mergeCell ref="DJ5:DJ7"/>
    <mergeCell ref="DK5:DK7"/>
    <mergeCell ref="DL5:DL7"/>
    <mergeCell ref="DM5:DM7"/>
    <mergeCell ref="DN5:DN7"/>
    <mergeCell ref="DE5:DE7"/>
    <mergeCell ref="DF5:DF7"/>
    <mergeCell ref="DG5:DG7"/>
    <mergeCell ref="DH5:DH7"/>
    <mergeCell ref="DI5:DI7"/>
    <mergeCell ref="CZ5:CZ7"/>
    <mergeCell ref="DA5:DA7"/>
    <mergeCell ref="DB5:DB7"/>
    <mergeCell ref="DC5:DC7"/>
    <mergeCell ref="DD5:DD7"/>
    <mergeCell ref="CU5:CU7"/>
    <mergeCell ref="CV5:CV7"/>
    <mergeCell ref="CW5:CW7"/>
    <mergeCell ref="CX5:CX7"/>
    <mergeCell ref="CY5:CY7"/>
    <mergeCell ref="CP5:CP7"/>
    <mergeCell ref="CQ5:CQ7"/>
    <mergeCell ref="CR5:CR7"/>
    <mergeCell ref="CS5:CS7"/>
    <mergeCell ref="CT5:CT7"/>
    <mergeCell ref="CK5:CK7"/>
    <mergeCell ref="CL5:CL7"/>
    <mergeCell ref="CM5:CM7"/>
    <mergeCell ref="CN5:CN7"/>
    <mergeCell ref="CO5:CO7"/>
    <mergeCell ref="CE5:CE7"/>
    <mergeCell ref="CF5:CF7"/>
    <mergeCell ref="CH5:CH7"/>
    <mergeCell ref="CI5:CI7"/>
    <mergeCell ref="CJ5:CJ7"/>
    <mergeCell ref="BZ5:BZ7"/>
    <mergeCell ref="CA5:CA7"/>
    <mergeCell ref="CB5:CB7"/>
    <mergeCell ref="CC5:CC7"/>
    <mergeCell ref="CD5:CD7"/>
    <mergeCell ref="BW5:BW7"/>
    <mergeCell ref="BX5:BX7"/>
    <mergeCell ref="BY5:BY7"/>
    <mergeCell ref="CG5:CG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s>
  <conditionalFormatting sqref="E15:E18 E9:E12">
    <cfRule type="cellIs" dxfId="68" priority="539" stopIfTrue="1" operator="notBetween">
      <formula>$E$26</formula>
      <formula>$E$27</formula>
    </cfRule>
  </conditionalFormatting>
  <conditionalFormatting sqref="F9:F12 F15:F18">
    <cfRule type="expression" dxfId="67" priority="618" stopIfTrue="1">
      <formula>IF(F9&lt;&gt;G9,TRUE,FALSE)</formula>
    </cfRule>
    <cfRule type="cellIs" dxfId="66" priority="620" stopIfTrue="1" operator="notBetween">
      <formula>$F$26</formula>
      <formula>$F$27</formula>
    </cfRule>
  </conditionalFormatting>
  <conditionalFormatting sqref="G9">
    <cfRule type="expression" dxfId="65" priority="626" stopIfTrue="1">
      <formula>IF(G9&lt;&gt;I9,TRUE,FALSE)</formula>
    </cfRule>
  </conditionalFormatting>
  <conditionalFormatting sqref="G10 G15:G18">
    <cfRule type="cellIs" dxfId="64" priority="619" stopIfTrue="1" operator="notBetween">
      <formula>$G$26</formula>
      <formula>$G$27</formula>
    </cfRule>
  </conditionalFormatting>
  <conditionalFormatting sqref="I9:I12 I14:I18">
    <cfRule type="expression" dxfId="63" priority="283">
      <formula>I9&gt;BY9*CA9</formula>
    </cfRule>
  </conditionalFormatting>
  <conditionalFormatting sqref="X9:X12 X15:X18">
    <cfRule type="expression" dxfId="62" priority="277">
      <formula>X9&gt;CA9*CC9</formula>
    </cfRule>
  </conditionalFormatting>
  <conditionalFormatting sqref="Y9:Y12 Y15:Y18">
    <cfRule type="expression" dxfId="61" priority="270">
      <formula>Y9&lt;CF9*CG9</formula>
    </cfRule>
  </conditionalFormatting>
  <conditionalFormatting sqref="Z9:Z12 Z15:Z18">
    <cfRule type="expression" dxfId="60" priority="271">
      <formula>Z9&lt;CI9*CJ9</formula>
    </cfRule>
  </conditionalFormatting>
  <conditionalFormatting sqref="AA9:AA12 AA15:AA18">
    <cfRule type="expression" dxfId="59" priority="257">
      <formula>(AA9&gt;CK9*CN9)</formula>
    </cfRule>
    <cfRule type="expression" dxfId="58" priority="258">
      <formula>(AA9&gt;CL9*CM9)</formula>
    </cfRule>
    <cfRule type="expression" dxfId="57" priority="259">
      <formula>(AA9&gt;CK9*CM9)</formula>
    </cfRule>
  </conditionalFormatting>
  <conditionalFormatting sqref="AB9:AB12 AB15:AB18">
    <cfRule type="expression" dxfId="56" priority="239">
      <formula>(AB9&gt;CK9*CR9)</formula>
    </cfRule>
    <cfRule type="expression" dxfId="55" priority="240">
      <formula>(AB9&gt;CP9*CQ9)</formula>
    </cfRule>
    <cfRule type="expression" dxfId="54" priority="241">
      <formula>(AB9&gt;CO9*CQ9)</formula>
    </cfRule>
  </conditionalFormatting>
  <conditionalFormatting sqref="AD9:AD12 AD15:AD18">
    <cfRule type="expression" dxfId="53" priority="209">
      <formula>(AD9&gt;CS9*CV9)</formula>
    </cfRule>
    <cfRule type="expression" dxfId="52" priority="210">
      <formula>(AD9&gt;CT9*CU9)</formula>
    </cfRule>
    <cfRule type="expression" dxfId="51" priority="211">
      <formula>(AD9&gt;CS9*CU9)</formula>
    </cfRule>
  </conditionalFormatting>
  <conditionalFormatting sqref="AE9:AE12 AE15:AE18">
    <cfRule type="expression" dxfId="50" priority="191">
      <formula>(AE9&gt;CW9*CZ9)</formula>
    </cfRule>
    <cfRule type="expression" dxfId="49" priority="192">
      <formula>(AE9&gt;CX9*CY9)</formula>
    </cfRule>
    <cfRule type="expression" dxfId="48" priority="193">
      <formula>(AE9&gt;CW9*CY9)</formula>
    </cfRule>
  </conditionalFormatting>
  <conditionalFormatting sqref="AF9:AF12 AF15:AF18">
    <cfRule type="expression" dxfId="47" priority="173">
      <formula>(AF9&gt;DA9*DD9)</formula>
    </cfRule>
    <cfRule type="expression" dxfId="46" priority="174">
      <formula>(AF9&gt;DA9*DC9)</formula>
    </cfRule>
    <cfRule type="expression" dxfId="45" priority="175">
      <formula>(AF9&gt;DB9*DC9)</formula>
    </cfRule>
  </conditionalFormatting>
  <conditionalFormatting sqref="AH9:AH12 AH15:AH18">
    <cfRule type="expression" dxfId="44" priority="155">
      <formula>(AH9&gt;DE9*DH9)</formula>
    </cfRule>
    <cfRule type="expression" dxfId="43" priority="156">
      <formula>(AH9&gt;DF9*DG9)</formula>
    </cfRule>
    <cfRule type="expression" dxfId="42" priority="157">
      <formula>(AH9&gt;DE9*DG9)</formula>
    </cfRule>
  </conditionalFormatting>
  <conditionalFormatting sqref="AI9:AI12 AI15:AI18">
    <cfRule type="expression" dxfId="41" priority="137">
      <formula>(AI9&gt;DI9*DL9)</formula>
    </cfRule>
    <cfRule type="expression" dxfId="40" priority="138">
      <formula>(AI9&gt;DJ9*DK9)</formula>
    </cfRule>
    <cfRule type="expression" dxfId="39" priority="139">
      <formula>(AI9&gt;DI9*DK9)</formula>
    </cfRule>
  </conditionalFormatting>
  <conditionalFormatting sqref="AJ9:AJ12 AJ15:AJ18">
    <cfRule type="expression" dxfId="38" priority="119">
      <formula>(AJ9&gt;DM9*DP9)</formula>
    </cfRule>
    <cfRule type="expression" dxfId="37" priority="120">
      <formula>(AJ9&gt;DN9*DO9)</formula>
    </cfRule>
    <cfRule type="expression" dxfId="36" priority="121">
      <formula>(AJ9&gt;DM9*DO9)</formula>
    </cfRule>
  </conditionalFormatting>
  <conditionalFormatting sqref="AM9:AM12 AM15:AM18">
    <cfRule type="expression" dxfId="35" priority="101">
      <formula>(AM9&gt;DQ9*DT9)</formula>
    </cfRule>
    <cfRule type="expression" dxfId="34" priority="102">
      <formula>(AM9&gt;DR9*DS9)</formula>
    </cfRule>
    <cfRule type="expression" dxfId="33" priority="103">
      <formula>(AM9&gt;DQ9*DS9)</formula>
    </cfRule>
  </conditionalFormatting>
  <conditionalFormatting sqref="AN9:AN12 AN15:AN18">
    <cfRule type="expression" dxfId="32" priority="83">
      <formula>(AN9&gt;DU9*DX9)</formula>
    </cfRule>
    <cfRule type="expression" dxfId="31" priority="84">
      <formula>(AN9&gt;DV9*DW9)</formula>
    </cfRule>
    <cfRule type="expression" dxfId="30" priority="85">
      <formula>(AN9&gt;DU9*DW9)</formula>
    </cfRule>
  </conditionalFormatting>
  <conditionalFormatting sqref="AP9:AP12 AW9:AW12 AP15:AP18 AW15:AW18">
    <cfRule type="expression" dxfId="29" priority="65">
      <formula>(AP9&gt;DY9*EB9)</formula>
    </cfRule>
    <cfRule type="expression" dxfId="28" priority="66">
      <formula>(AP9&gt;DZ9*EA9)</formula>
    </cfRule>
    <cfRule type="expression" dxfId="27" priority="67">
      <formula>(AP9&gt;DY9*EA9)</formula>
    </cfRule>
  </conditionalFormatting>
  <conditionalFormatting sqref="AR9:AR12 AR15:AR18">
    <cfRule type="expression" dxfId="26" priority="49">
      <formula>(AR9&gt;ED9*EE9)</formula>
    </cfRule>
  </conditionalFormatting>
  <conditionalFormatting sqref="AR10:AR12">
    <cfRule type="cellIs" dxfId="25" priority="570" stopIfTrue="1" operator="notBetween">
      <formula>$AR$26</formula>
      <formula>$AR$27</formula>
    </cfRule>
  </conditionalFormatting>
  <conditionalFormatting sqref="AX9:AX12 AX15:AX18">
    <cfRule type="expression" dxfId="24" priority="23">
      <formula>(AX9&gt;EJ9*EM9)</formula>
    </cfRule>
    <cfRule type="expression" dxfId="23" priority="24">
      <formula>(AX9&gt;EK9*EL9)</formula>
    </cfRule>
    <cfRule type="expression" dxfId="22" priority="25">
      <formula>(AX9&gt;EJ9*EL9)</formula>
    </cfRule>
  </conditionalFormatting>
  <conditionalFormatting sqref="BB9:BB12">
    <cfRule type="expression" dxfId="21" priority="7">
      <formula>(BB9&gt;ULTIMODIA)</formula>
    </cfRule>
  </conditionalFormatting>
  <conditionalFormatting sqref="BB15:BB18">
    <cfRule type="expression" dxfId="20" priority="6">
      <formula>(BB15&gt;ULTIMODIA)</formula>
    </cfRule>
  </conditionalFormatting>
  <conditionalFormatting sqref="H15:H18 BW9:EP12 H9:H12">
    <cfRule type="cellIs" dxfId="19" priority="286" stopIfTrue="1" operator="notBetween">
      <formula>$H$26</formula>
      <formula>$H$27</formula>
    </cfRule>
  </conditionalFormatting>
  <conditionalFormatting sqref="BW15:EP18">
    <cfRule type="cellIs" dxfId="18" priority="602" stopIfTrue="1" operator="notBetween">
      <formula>$H$26</formula>
      <formula>$H$27</formula>
    </cfRule>
  </conditionalFormatting>
  <conditionalFormatting sqref="X10:X12">
    <cfRule type="cellIs" dxfId="17" priority="5626" stopIfTrue="1" operator="notBetween">
      <formula>$X$26</formula>
      <formula>$X$27</formula>
    </cfRule>
  </conditionalFormatting>
  <conditionalFormatting sqref="Y10:Y12">
    <cfRule type="cellIs" dxfId="16" priority="5627" stopIfTrue="1" operator="notBetween">
      <formula>$Y$26</formula>
      <formula>$Y$27</formula>
    </cfRule>
  </conditionalFormatting>
  <conditionalFormatting sqref="Z10:Z12">
    <cfRule type="cellIs" dxfId="15" priority="5628" stopIfTrue="1" operator="notBetween">
      <formula>$Z$26</formula>
      <formula>$Z$27</formula>
    </cfRule>
  </conditionalFormatting>
  <conditionalFormatting sqref="AA10:AA12">
    <cfRule type="cellIs" dxfId="14" priority="5629" stopIfTrue="1" operator="notBetween">
      <formula>$AA$26</formula>
      <formula>$AA$27</formula>
    </cfRule>
  </conditionalFormatting>
  <conditionalFormatting sqref="AB10:AB12">
    <cfRule type="cellIs" dxfId="13" priority="5630" stopIfTrue="1" operator="notBetween">
      <formula>$AB$26</formula>
      <formula>$AB$27</formula>
    </cfRule>
  </conditionalFormatting>
  <conditionalFormatting sqref="AD10:AD12">
    <cfRule type="cellIs" dxfId="12" priority="5631" stopIfTrue="1" operator="notBetween">
      <formula>$AD$26</formula>
      <formula>$AD$27</formula>
    </cfRule>
  </conditionalFormatting>
  <conditionalFormatting sqref="AE10:AE12">
    <cfRule type="cellIs" dxfId="11" priority="5632" stopIfTrue="1" operator="notBetween">
      <formula>$AE$26</formula>
      <formula>$AE$27</formula>
    </cfRule>
  </conditionalFormatting>
  <conditionalFormatting sqref="AF10:AF12">
    <cfRule type="cellIs" dxfId="10" priority="5633" stopIfTrue="1" operator="notBetween">
      <formula>$AF$26</formula>
      <formula>$AF$27</formula>
    </cfRule>
  </conditionalFormatting>
  <conditionalFormatting sqref="AH10:AH12">
    <cfRule type="cellIs" dxfId="9" priority="5634" stopIfTrue="1" operator="notBetween">
      <formula>$AH$26</formula>
      <formula>$AH$27</formula>
    </cfRule>
  </conditionalFormatting>
  <conditionalFormatting sqref="AI10:AI12">
    <cfRule type="cellIs" dxfId="8" priority="5635" stopIfTrue="1" operator="notBetween">
      <formula>$AI$26</formula>
      <formula>$AI$27</formula>
    </cfRule>
  </conditionalFormatting>
  <conditionalFormatting sqref="AJ10:AJ12">
    <cfRule type="cellIs" dxfId="7" priority="5636" stopIfTrue="1" operator="notBetween">
      <formula>$AJ$26</formula>
      <formula>$AJ$27</formula>
    </cfRule>
  </conditionalFormatting>
  <conditionalFormatting sqref="AM10:AM12">
    <cfRule type="cellIs" dxfId="6" priority="5637" stopIfTrue="1" operator="notBetween">
      <formula>$AM$26</formula>
      <formula>$AM$27</formula>
    </cfRule>
  </conditionalFormatting>
  <conditionalFormatting sqref="AN10:AN12">
    <cfRule type="cellIs" dxfId="5" priority="5638" stopIfTrue="1" operator="notBetween">
      <formula>$AN$26</formula>
      <formula>$AN$27</formula>
    </cfRule>
  </conditionalFormatting>
  <conditionalFormatting sqref="AP10:AP12">
    <cfRule type="cellIs" dxfId="4" priority="5639" stopIfTrue="1" operator="notBetween">
      <formula>$AP$26</formula>
      <formula>$AP$27</formula>
    </cfRule>
  </conditionalFormatting>
  <conditionalFormatting sqref="AW10:AW12">
    <cfRule type="cellIs" dxfId="3" priority="5640" stopIfTrue="1" operator="notBetween">
      <formula>$AW$26</formula>
      <formula>$AW$27</formula>
    </cfRule>
  </conditionalFormatting>
  <conditionalFormatting sqref="AX10:AX12">
    <cfRule type="cellIs" dxfId="2" priority="5641" stopIfTrue="1" operator="notBetween">
      <formula>$AX$26</formula>
      <formula>$AX$27</formula>
    </cfRule>
  </conditionalFormatting>
  <conditionalFormatting sqref="BB14 BB10:BB12">
    <cfRule type="expression" dxfId="1" priority="6064" stopIfTrue="1">
      <formula>NOT(AND($BB10-ultimoDiaTrim&gt;=$BB$27,$BB10-ultimoDiaTrim&lt;=$BB$26))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E19"/>
  <sheetViews>
    <sheetView zoomScale="82" zoomScaleNormal="82" workbookViewId="0">
      <selection activeCell="A27" sqref="A27"/>
    </sheetView>
  </sheetViews>
  <sheetFormatPr baseColWidth="10" defaultRowHeight="12.75"/>
  <cols>
    <col min="1" max="1" width="72.28515625" customWidth="1"/>
    <col min="2" max="2" width="72.85546875" customWidth="1"/>
    <col min="3" max="3" width="66.7109375" customWidth="1"/>
    <col min="4" max="4" width="15.7109375" bestFit="1" customWidth="1"/>
    <col min="5" max="5" width="13.5703125" customWidth="1"/>
  </cols>
  <sheetData>
    <row r="1" spans="1:5" ht="23.25" thickBot="1">
      <c r="A1" s="1869" t="s">
        <v>995</v>
      </c>
      <c r="B1" s="1870"/>
      <c r="C1" s="1870"/>
      <c r="D1" s="1870"/>
      <c r="E1" s="1870"/>
    </row>
    <row r="2" spans="1:5" ht="15">
      <c r="A2" s="1454"/>
      <c r="B2" s="1453"/>
      <c r="C2" s="1453"/>
      <c r="D2" s="1453"/>
      <c r="E2" s="1453"/>
    </row>
    <row r="3" spans="1:5">
      <c r="A3" s="1462">
        <f>boletin</f>
        <v>0</v>
      </c>
    </row>
    <row r="4" spans="1:5">
      <c r="A4" s="1466" t="str">
        <f>IF(Criterios!B9=0,"",Criterios!B9)</f>
        <v>ANDALUCIA</v>
      </c>
      <c r="B4" s="1461" t="str">
        <f>IF(Criterios!B10=0,"",Criterios!B10)</f>
        <v>CADIZ</v>
      </c>
      <c r="C4" s="1461" t="str">
        <f>IF(Criterios!B11=0,"",Criterios!B11)</f>
        <v>SAN ROQUE</v>
      </c>
      <c r="D4" s="1459"/>
      <c r="E4" s="1459"/>
    </row>
    <row r="5" spans="1:5">
      <c r="A5" s="1463" t="s">
        <v>37</v>
      </c>
      <c r="B5" s="1464">
        <f>Año</f>
        <v>2026</v>
      </c>
      <c r="C5" s="1461" t="s">
        <v>216</v>
      </c>
      <c r="D5" s="1459">
        <f>TrimIni</f>
        <v>1</v>
      </c>
      <c r="E5" s="1455"/>
    </row>
    <row r="6" spans="1:5">
      <c r="A6" s="1460"/>
      <c r="B6" s="1460"/>
      <c r="C6" s="1465" t="s">
        <v>217</v>
      </c>
      <c r="D6" s="1460">
        <f>TrimFin</f>
        <v>1</v>
      </c>
      <c r="E6" s="1455"/>
    </row>
    <row r="7" spans="1:5" ht="47.25">
      <c r="A7" s="1452" t="s">
        <v>996</v>
      </c>
      <c r="B7" s="1452" t="s">
        <v>1000</v>
      </c>
      <c r="C7" s="1452" t="s">
        <v>1001</v>
      </c>
      <c r="D7" s="1452" t="s">
        <v>1002</v>
      </c>
      <c r="E7" s="1452" t="s">
        <v>1003</v>
      </c>
    </row>
    <row r="8" spans="1:5">
      <c r="A8" t="str">
        <f>Datos!A8</f>
        <v>Jurisdicción Civil ( 1 ):</v>
      </c>
    </row>
    <row r="9" spans="1:5" ht="15.75">
      <c r="A9" s="1458" t="str">
        <f>Datos!A9</f>
        <v>Sección Civil del T.I</v>
      </c>
      <c r="B9" s="1457"/>
      <c r="C9" s="1457"/>
      <c r="D9" s="1457">
        <f>IF(B9="", 0, LEN(B9) - LEN(SUBSTITUTE(B9, "[", "")) )</f>
        <v>0</v>
      </c>
      <c r="E9" s="1457">
        <f>IF(C9="", 0, LEN(C9) - LEN(SUBSTITUTE(C9, "[", "")) )</f>
        <v>0</v>
      </c>
    </row>
    <row r="10" spans="1:5" ht="15.75">
      <c r="A10" s="1458" t="str">
        <f>Datos!A10</f>
        <v>Sección De Violencia sobre la Mujer del TI</v>
      </c>
      <c r="B10" s="1457"/>
      <c r="C10" s="1457"/>
      <c r="D10" s="1457">
        <f t="shared" ref="D10:D19" si="0">IF(B10="", 0, LEN(B10) - LEN(SUBSTITUTE(B10, "[", "")) )</f>
        <v>0</v>
      </c>
      <c r="E10" s="1457">
        <f t="shared" ref="E10:E19" si="1">IF(C10="", 0, LEN(C10) - LEN(SUBSTITUTE(C10, "[", "")) )</f>
        <v>0</v>
      </c>
    </row>
    <row r="11" spans="1:5" ht="15.75">
      <c r="A11" s="1458" t="str">
        <f>Datos!A11</f>
        <v xml:space="preserve">Sección de Familia, infancia e incapacidad del TI                           </v>
      </c>
      <c r="B11" s="1457"/>
      <c r="C11" s="1457"/>
      <c r="D11" s="1457">
        <f t="shared" si="0"/>
        <v>0</v>
      </c>
      <c r="E11" s="1457">
        <f t="shared" si="1"/>
        <v>0</v>
      </c>
    </row>
    <row r="12" spans="1:5" ht="15.75">
      <c r="A12" s="1458" t="str">
        <f>Datos!A12</f>
        <v xml:space="preserve">Sección Civil y de Inst. TI                      </v>
      </c>
      <c r="B12" s="1457"/>
      <c r="C12" s="1457"/>
      <c r="D12" s="1457">
        <f t="shared" si="0"/>
        <v>0</v>
      </c>
      <c r="E12" s="1457">
        <f t="shared" si="1"/>
        <v>0</v>
      </c>
    </row>
    <row r="13" spans="1:5" s="1453" customFormat="1" ht="15.75">
      <c r="A13" s="1458" t="str">
        <f>Datos!A13</f>
        <v>TOTAL</v>
      </c>
      <c r="B13" s="1457"/>
      <c r="C13" s="1457"/>
      <c r="D13" s="1457">
        <f t="shared" si="0"/>
        <v>0</v>
      </c>
      <c r="E13" s="1457">
        <f t="shared" si="1"/>
        <v>0</v>
      </c>
    </row>
    <row r="14" spans="1:5" s="1453" customFormat="1" ht="15.75">
      <c r="A14" s="1458" t="str">
        <f>Datos!A14</f>
        <v xml:space="preserve">Jurisdicción Penal ( 2 ):                      </v>
      </c>
      <c r="B14" s="1457"/>
      <c r="C14" s="1457"/>
      <c r="D14" s="1457">
        <f t="shared" si="0"/>
        <v>0</v>
      </c>
      <c r="E14" s="1457">
        <f t="shared" si="1"/>
        <v>0</v>
      </c>
    </row>
    <row r="15" spans="1:5" s="1453" customFormat="1" ht="15.75">
      <c r="A15" s="1458" t="str">
        <f>Datos!A15</f>
        <v xml:space="preserve">Seccion Instruccion Del T.I.                   </v>
      </c>
      <c r="B15" s="1457"/>
      <c r="C15" s="1457"/>
      <c r="D15" s="1457">
        <f t="shared" si="0"/>
        <v>0</v>
      </c>
      <c r="E15" s="1457">
        <f t="shared" si="1"/>
        <v>0</v>
      </c>
    </row>
    <row r="16" spans="1:5" s="1453" customFormat="1" ht="15.75">
      <c r="A16" s="1458" t="str">
        <f>Datos!A16</f>
        <v>Seccion Violencia contra la inf y adol.</v>
      </c>
      <c r="B16" s="1457"/>
      <c r="C16" s="1457"/>
      <c r="D16" s="1457">
        <f t="shared" ref="D16" si="2">IF(B16="", 0, LEN(B16) - LEN(SUBSTITUTE(B16, "[", "")) )</f>
        <v>0</v>
      </c>
      <c r="E16" s="1457">
        <f t="shared" ref="E16" si="3">IF(C16="", 0, LEN(C16) - LEN(SUBSTITUTE(C16, "[", "")) )</f>
        <v>0</v>
      </c>
    </row>
    <row r="17" spans="1:5" s="1453" customFormat="1" ht="15.75">
      <c r="A17" s="1458" t="str">
        <f>Datos!A17</f>
        <v xml:space="preserve">Sección Civil y de Inst. TI                      </v>
      </c>
      <c r="B17" s="1457"/>
      <c r="C17" s="1457"/>
      <c r="D17" s="1457">
        <f t="shared" si="0"/>
        <v>0</v>
      </c>
      <c r="E17" s="1457">
        <f t="shared" si="1"/>
        <v>0</v>
      </c>
    </row>
    <row r="18" spans="1:5" s="1453" customFormat="1" ht="15.75">
      <c r="A18" s="1458" t="str">
        <f>Datos!A18</f>
        <v>Sección De Violencia sobre la Mujer del TI</v>
      </c>
      <c r="B18" s="1457"/>
      <c r="C18" s="1457"/>
      <c r="D18" s="1457">
        <f t="shared" si="0"/>
        <v>0</v>
      </c>
      <c r="E18" s="1457">
        <f t="shared" si="1"/>
        <v>0</v>
      </c>
    </row>
    <row r="19" spans="1:5" s="1453" customFormat="1" ht="15.75">
      <c r="A19" s="1458" t="str">
        <f>Datos!A19</f>
        <v>TOTAL</v>
      </c>
      <c r="B19" s="1457"/>
      <c r="C19" s="1457"/>
      <c r="D19" s="1457">
        <f t="shared" si="0"/>
        <v>0</v>
      </c>
      <c r="E19" s="1457">
        <f t="shared" si="1"/>
        <v>0</v>
      </c>
    </row>
  </sheetData>
  <sheetProtection algorithmName="SHA-512" hashValue="A7sRbwd+aqovXtKzLYx88OocvVvprm/SZv8POI2hi5BhN/cHDZFRdkid3N1Ucn9aSl7PnVwtjNqNYAS8f9SE0A==" saltValue="8+PhQvazWeVx/fTjBm6s2w==" spinCount="100000" sheet="1" objects="1" scenarios="1"/>
  <mergeCells count="1">
    <mergeCell ref="A1:E1"/>
  </mergeCells>
  <conditionalFormatting sqref="A8:E19">
    <cfRule type="expression" dxfId="0" priority="1">
      <formula>MOD(ROW(),2)=0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8"/>
  <sheetViews>
    <sheetView topLeftCell="A6" zoomScale="85" zoomScaleNormal="85" workbookViewId="0">
      <selection activeCell="A27" sqref="A27"/>
    </sheetView>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6" ht="108" customHeight="1"/>
    <row r="2" spans="1:16">
      <c r="A2" s="374"/>
      <c r="B2" s="388" t="str">
        <f>Criterios!A9 &amp;"  "&amp;Criterios!B9</f>
        <v>Tribunales de Justicia  ANDALUCIA</v>
      </c>
      <c r="C2" s="374"/>
      <c r="E2" s="374"/>
      <c r="F2" s="374"/>
      <c r="G2" s="374"/>
      <c r="H2" s="374"/>
    </row>
    <row r="3" spans="1:16" ht="39">
      <c r="A3" s="414" t="s">
        <v>219</v>
      </c>
      <c r="B3" s="390" t="str">
        <f>Criterios!A10 &amp;"  "&amp;Criterios!B10</f>
        <v>Provincias  CADIZ</v>
      </c>
      <c r="C3" s="414"/>
      <c r="F3" s="374"/>
      <c r="G3" s="374"/>
      <c r="H3" s="374"/>
    </row>
    <row r="4" spans="1:16" ht="13.5" thickBot="1">
      <c r="A4" s="374"/>
      <c r="B4" s="390" t="str">
        <f>Criterios!A11 &amp;"  "&amp;Criterios!B11</f>
        <v>Resumenes por Partidos Judiciales  SAN ROQUE</v>
      </c>
      <c r="C4" s="374"/>
      <c r="E4" s="374"/>
      <c r="F4" s="374"/>
      <c r="G4" s="374"/>
      <c r="H4" s="374"/>
    </row>
    <row r="5" spans="1:16" ht="15.75" customHeight="1">
      <c r="A5" s="1489" t="str">
        <f>"Año:  " &amp;Criterios!B5</f>
        <v>Año:  2026</v>
      </c>
      <c r="B5" s="1479" t="s">
        <v>206</v>
      </c>
      <c r="C5" s="1492"/>
      <c r="D5" s="1479" t="s">
        <v>223</v>
      </c>
      <c r="E5" s="1497"/>
      <c r="F5" s="1492"/>
      <c r="G5" s="1479" t="s">
        <v>208</v>
      </c>
      <c r="H5" s="1480"/>
      <c r="I5" s="1479" t="s">
        <v>209</v>
      </c>
      <c r="J5" s="1480"/>
      <c r="K5" s="1479" t="s">
        <v>210</v>
      </c>
      <c r="L5" s="1491"/>
      <c r="M5" s="1492"/>
    </row>
    <row r="6" spans="1:16" ht="21.75" customHeight="1" thickBot="1">
      <c r="A6" s="1490"/>
      <c r="B6" s="1495"/>
      <c r="C6" s="1496"/>
      <c r="D6" s="1498"/>
      <c r="E6" s="1499"/>
      <c r="F6" s="1500"/>
      <c r="G6" s="1481"/>
      <c r="H6" s="1482"/>
      <c r="I6" s="1481"/>
      <c r="J6" s="1482"/>
      <c r="K6" s="1481"/>
      <c r="L6" s="1493"/>
      <c r="M6" s="1494"/>
    </row>
    <row r="7" spans="1:16" ht="38.25" customHeight="1" thickTop="1" thickBot="1">
      <c r="A7" s="391" t="str">
        <f>Datos!A7</f>
        <v>COMPETENCIAS</v>
      </c>
      <c r="B7" s="415" t="s">
        <v>107</v>
      </c>
      <c r="C7" s="415" t="s">
        <v>207</v>
      </c>
      <c r="D7" s="415" t="s">
        <v>107</v>
      </c>
      <c r="E7" s="415" t="s">
        <v>207</v>
      </c>
      <c r="F7" s="394" t="s">
        <v>6</v>
      </c>
      <c r="G7" s="415" t="s">
        <v>107</v>
      </c>
      <c r="H7" s="415" t="s">
        <v>211</v>
      </c>
      <c r="I7" s="415" t="s">
        <v>107</v>
      </c>
      <c r="J7" s="415" t="s">
        <v>211</v>
      </c>
      <c r="K7" s="415" t="s">
        <v>107</v>
      </c>
      <c r="L7" s="416" t="s">
        <v>211</v>
      </c>
      <c r="M7" s="416" t="s">
        <v>220</v>
      </c>
    </row>
    <row r="8" spans="1:16">
      <c r="A8" s="395" t="str">
        <f>Datos!A8</f>
        <v>Jurisdicción Civil ( 1 ):</v>
      </c>
      <c r="B8" s="417"/>
      <c r="C8" s="417"/>
      <c r="D8" s="396"/>
      <c r="E8" s="397"/>
      <c r="F8" s="398"/>
      <c r="G8" s="397"/>
      <c r="H8" s="398"/>
      <c r="I8" s="397"/>
      <c r="J8" s="398"/>
      <c r="K8" s="397"/>
      <c r="L8" s="398"/>
      <c r="M8" s="418"/>
    </row>
    <row r="9" spans="1:16">
      <c r="A9" s="401" t="str">
        <f>Datos!A9</f>
        <v>Sección Civil del T.I</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6" ht="21">
      <c r="A10" s="401" t="str">
        <f>Datos!A10</f>
        <v>Sección De Violencia sobre la Mujer del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6" ht="21">
      <c r="A11" s="401" t="str">
        <f>Datos!A11</f>
        <v xml:space="preserve">Sección de Familia, infancia e incapacidad del TI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6" ht="13.5" thickBot="1">
      <c r="A12" s="401" t="str">
        <f>Datos!A12</f>
        <v xml:space="preserve">Sección Civil y de Inst. TI                      </v>
      </c>
      <c r="B12" s="402">
        <f>Datos!BL12</f>
        <v>0</v>
      </c>
      <c r="C12" s="402">
        <f>Datos!AR12</f>
        <v>3</v>
      </c>
      <c r="D12" s="402">
        <f>Datos!BK12</f>
        <v>0</v>
      </c>
      <c r="E12" s="402">
        <f>Datos!AQ12</f>
        <v>3</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6" ht="14.25" thickTop="1" thickBot="1">
      <c r="A13" s="845"/>
      <c r="B13" s="849"/>
      <c r="C13" s="849"/>
      <c r="D13" s="846"/>
      <c r="E13" s="846"/>
      <c r="F13" s="847"/>
      <c r="G13" s="846"/>
      <c r="H13" s="847"/>
      <c r="I13" s="846"/>
      <c r="J13" s="847"/>
      <c r="K13" s="846"/>
      <c r="L13" s="847"/>
      <c r="M13" s="847"/>
    </row>
    <row r="14" spans="1:16" ht="13.5" thickTop="1">
      <c r="A14" s="395" t="str">
        <f>Datos!A14</f>
        <v xml:space="preserve">Jurisdicción Penal ( 2 ):                      </v>
      </c>
      <c r="B14" s="417"/>
      <c r="C14" s="417"/>
      <c r="D14" s="405"/>
      <c r="E14" s="405"/>
      <c r="F14" s="406"/>
      <c r="G14" s="405"/>
      <c r="H14" s="406"/>
      <c r="I14" s="405"/>
      <c r="J14" s="406"/>
      <c r="K14" s="405"/>
      <c r="L14" s="406"/>
      <c r="M14" s="422"/>
    </row>
    <row r="15" spans="1:16">
      <c r="A15" s="401" t="str">
        <f>Datos!A15</f>
        <v xml:space="preserve">Seccion Instruccion Del T.I.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8" si="2">IF(ISNUMBER(G15/D15),G15/D15," - ")</f>
        <v xml:space="preserve"> - </v>
      </c>
      <c r="J15" s="403" t="str">
        <f t="shared" ref="J15:J18"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6" s="1455" customFormat="1">
      <c r="A16" s="401" t="str">
        <f>Datos!A16</f>
        <v>Seccion Violencia contra la inf y adol.</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ref="I16" si="4">IF(ISNUMBER(G16/D16),G16/D16," - ")</f>
        <v xml:space="preserve"> - </v>
      </c>
      <c r="J16" s="403" t="str">
        <f t="shared" ref="J16" si="5">IF(ISNUMBER(H16/E16),H16/E16," - ")</f>
        <v xml:space="preserve"> - </v>
      </c>
      <c r="K16" s="419" t="str">
        <f>IF(AND(ISNUMBER(I16/Datos!ER16),(G16&lt;&gt;0)),((I16-Datos!ER16)/Datos!ER16)," - ")</f>
        <v xml:space="preserve"> - </v>
      </c>
      <c r="L16" s="419" t="str">
        <f>IF(AND(ISNUMBER(J16/Datos!ER16),(H16&lt;&gt;0)),((J16-Datos!ER16)/Datos!ER16)," - ")</f>
        <v xml:space="preserve"> - </v>
      </c>
      <c r="M16" s="420">
        <f>IF(EXACT(Datos!ER16,""),"-",Datos!ER16)</f>
        <v>3300</v>
      </c>
      <c r="N16" s="374"/>
      <c r="O16" s="374"/>
      <c r="P16" s="374"/>
    </row>
    <row r="17" spans="1:13">
      <c r="A17" s="401" t="str">
        <f>Datos!A17</f>
        <v xml:space="preserve">Sección Civil y de Inst. TI                      </v>
      </c>
      <c r="B17" s="402">
        <f>Datos!BL17</f>
        <v>0</v>
      </c>
      <c r="C17" s="402">
        <f>Datos!AR17</f>
        <v>3</v>
      </c>
      <c r="D17" s="402">
        <f>Datos!BK17</f>
        <v>0</v>
      </c>
      <c r="E17" s="402">
        <f>Datos!AQ17</f>
        <v>3</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1000</v>
      </c>
    </row>
    <row r="18" spans="1:13" ht="21.75" thickBot="1">
      <c r="A18" s="401" t="str">
        <f>Datos!A18</f>
        <v>Sección De Violencia sobre la Mujer del TI</v>
      </c>
      <c r="B18" s="402">
        <f>Datos!BL18</f>
        <v>0</v>
      </c>
      <c r="C18" s="402">
        <f>Datos!AR18</f>
        <v>0</v>
      </c>
      <c r="D18" s="402">
        <f>Datos!BK18</f>
        <v>0</v>
      </c>
      <c r="E18" s="402">
        <f>Datos!AQ18</f>
        <v>0</v>
      </c>
      <c r="F18" s="403">
        <f>IF(ISNUMBER(E18/Datos!BH18),E18/Datos!BH18," - ")</f>
        <v>0</v>
      </c>
      <c r="G18" s="402" t="str">
        <f>IF(ISNUMBER(Datos!BJ18),Datos!BJ18," - ")</f>
        <v xml:space="preserve"> - </v>
      </c>
      <c r="H18" s="402" t="str">
        <f>IF(ISNUMBER(Datos!AS18),Datos!AS18," - ")</f>
        <v xml:space="preserve"> - </v>
      </c>
      <c r="I18" s="403" t="str">
        <f t="shared" si="2"/>
        <v xml:space="preserve"> - </v>
      </c>
      <c r="J18" s="403" t="str">
        <f t="shared" si="3"/>
        <v xml:space="preserve"> - </v>
      </c>
      <c r="K18" s="419" t="str">
        <f>IF(AND(ISNUMBER(I18/Datos!ER18),(G18&lt;&gt;0)),((I18-Datos!ER18)/Datos!ER18)," - ")</f>
        <v xml:space="preserve"> - </v>
      </c>
      <c r="L18" s="419" t="str">
        <f>IF(AND(ISNUMBER(J18/Datos!ER18),(H18&lt;&gt;0)),((J18-Datos!ER18)/Datos!ER18)," - ")</f>
        <v xml:space="preserve"> - </v>
      </c>
      <c r="M18" s="420">
        <f>IF(EXACT(Datos!ER18,""),"-",Datos!ER18)</f>
        <v>1600</v>
      </c>
    </row>
    <row r="19" spans="1:13" ht="14.25" thickTop="1" thickBot="1">
      <c r="A19" s="845"/>
      <c r="B19" s="849"/>
      <c r="C19" s="849"/>
      <c r="D19" s="846"/>
      <c r="E19" s="846"/>
      <c r="F19" s="847"/>
      <c r="G19" s="846"/>
      <c r="H19" s="847"/>
      <c r="I19" s="846"/>
      <c r="J19" s="847"/>
      <c r="K19" s="846"/>
      <c r="L19" s="847"/>
      <c r="M19" s="847"/>
    </row>
    <row r="20" spans="1:13" ht="16.5" customHeight="1" thickTop="1" thickBot="1">
      <c r="A20" s="790"/>
      <c r="B20" s="794"/>
      <c r="C20" s="794"/>
      <c r="D20" s="791"/>
      <c r="E20" s="791"/>
      <c r="F20" s="792"/>
      <c r="G20" s="791"/>
      <c r="H20" s="792"/>
      <c r="I20" s="791"/>
      <c r="J20" s="792"/>
      <c r="K20" s="791"/>
      <c r="L20" s="792"/>
      <c r="M20" s="792"/>
    </row>
    <row r="21" spans="1:13">
      <c r="A21" s="410"/>
      <c r="B21" s="410"/>
      <c r="C21" s="410"/>
      <c r="D21" s="411"/>
    </row>
    <row r="22" spans="1:13">
      <c r="A22" s="410"/>
      <c r="B22" s="410"/>
      <c r="C22" s="410"/>
      <c r="D22" s="410"/>
    </row>
    <row r="23" spans="1:13">
      <c r="A23" s="1476"/>
      <c r="B23" s="1476"/>
      <c r="C23" s="1476"/>
      <c r="D23" s="1476"/>
    </row>
    <row r="24" spans="1:13">
      <c r="A24" s="390" t="str">
        <f>Criterios!A4</f>
        <v>Fecha Informe: 18 jun. 2026</v>
      </c>
      <c r="B24" s="390"/>
      <c r="C24" s="390"/>
    </row>
    <row r="28" spans="1:13">
      <c r="A28" s="413"/>
      <c r="B28" s="413"/>
      <c r="C28" s="413"/>
    </row>
  </sheetData>
  <sheetProtection algorithmName="SHA-512" hashValue="LQ4Psror1iT+JDerrZ6ploAoUgQZfMLKIqPYbyYVMEU7WDZ+/mtlPi1vbZkcGcGF/J1ybLDk7sGWroP58yuFVw==" saltValue="iPtLrcRUDoouN6W4VPvwsw==" spinCount="100000" sheet="1" objects="1" scenarios="1"/>
  <mergeCells count="7">
    <mergeCell ref="A23:D23"/>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8"/>
  <sheetViews>
    <sheetView topLeftCell="A5" zoomScale="85" zoomScaleNormal="85" workbookViewId="0">
      <selection activeCell="A25" sqref="A25:XFD25"/>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1" hidden="1" customWidth="1"/>
    <col min="79" max="16384" width="11.42578125" style="371"/>
  </cols>
  <sheetData>
    <row r="1" spans="1:78" ht="105" customHeight="1">
      <c r="G1" s="423"/>
    </row>
    <row r="2" spans="1:78" ht="18.75" customHeight="1">
      <c r="B2" s="388" t="str">
        <f>Criterios!A9 &amp;"  "&amp;Criterios!B9</f>
        <v>Tribunales de Justicia  ANDALUCIA</v>
      </c>
      <c r="C2" s="390"/>
    </row>
    <row r="3" spans="1:78" ht="19.5">
      <c r="A3" s="424" t="s">
        <v>11</v>
      </c>
      <c r="B3" s="390" t="str">
        <f>Criterios!A10 &amp;"  "&amp;Criterios!B10</f>
        <v>Provincias  CADIZ</v>
      </c>
      <c r="C3" s="390"/>
      <c r="D3" s="424"/>
      <c r="BZ3" s="470"/>
    </row>
    <row r="4" spans="1:78" ht="13.5" thickBot="1">
      <c r="B4" s="390" t="str">
        <f>Criterios!A11 &amp;"  "&amp;Criterios!B11</f>
        <v>Resumenes por Partidos Judiciales  SAN ROQUE</v>
      </c>
      <c r="BZ4" s="470"/>
    </row>
    <row r="5" spans="1:78" ht="15.75" customHeight="1">
      <c r="A5" s="1489" t="str">
        <f>"Año:  " &amp;Criterios!B5 &amp; "                  Trimestre   " &amp;Criterios!D5 &amp; " al " &amp;Criterios!D6</f>
        <v>Año:  2026                  Trimestre   1 al 1</v>
      </c>
      <c r="B5" s="1501" t="s">
        <v>116</v>
      </c>
      <c r="C5" s="1501" t="s">
        <v>123</v>
      </c>
      <c r="D5" s="1479" t="s">
        <v>86</v>
      </c>
      <c r="E5" s="1480"/>
      <c r="F5" s="1479" t="s">
        <v>87</v>
      </c>
      <c r="G5" s="1484"/>
      <c r="H5" s="1479" t="s">
        <v>233</v>
      </c>
      <c r="I5" s="1484"/>
      <c r="BZ5" s="470"/>
    </row>
    <row r="6" spans="1:78" ht="14.25" customHeight="1" thickBot="1">
      <c r="A6" s="1490"/>
      <c r="B6" s="1502"/>
      <c r="C6" s="1502"/>
      <c r="D6" s="1481"/>
      <c r="E6" s="1482"/>
      <c r="F6" s="1481"/>
      <c r="G6" s="1485"/>
      <c r="H6" s="1481"/>
      <c r="I6" s="1485"/>
      <c r="BZ6" s="470"/>
    </row>
    <row r="7" spans="1:78" ht="46.5" customHeight="1" thickTop="1" thickBot="1">
      <c r="A7" s="391" t="str">
        <f>Datos!A7</f>
        <v>COMPETENCIAS</v>
      </c>
      <c r="B7" s="415" t="s">
        <v>117</v>
      </c>
      <c r="C7" s="415" t="s">
        <v>117</v>
      </c>
      <c r="D7" s="393" t="s">
        <v>93</v>
      </c>
      <c r="E7" s="394" t="s">
        <v>6</v>
      </c>
      <c r="F7" s="393" t="s">
        <v>94</v>
      </c>
      <c r="G7" s="394" t="s">
        <v>6</v>
      </c>
      <c r="H7" s="393" t="s">
        <v>234</v>
      </c>
      <c r="I7" s="394" t="s">
        <v>6</v>
      </c>
      <c r="BZ7" s="470"/>
    </row>
    <row r="8" spans="1:78">
      <c r="A8" s="395" t="str">
        <f>Datos!A8</f>
        <v>Jurisdicción Civil ( 1 ):</v>
      </c>
      <c r="B8" s="425"/>
      <c r="C8" s="399"/>
      <c r="D8" s="397"/>
      <c r="E8" s="399"/>
      <c r="F8" s="397"/>
      <c r="G8" s="398"/>
      <c r="H8" s="397"/>
      <c r="I8" s="398"/>
    </row>
    <row r="9" spans="1:78">
      <c r="A9" s="401" t="str">
        <f>Datos!A9</f>
        <v>Sección Civil del T.I</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1">
        <f>Datos!EZ9</f>
        <v>0</v>
      </c>
    </row>
    <row r="10" spans="1:78">
      <c r="A10" s="401" t="str">
        <f>Datos!A10</f>
        <v>Sección De Violencia sobre la Mujer del TI</v>
      </c>
      <c r="B10" s="426">
        <f>Datos!AO10</f>
        <v>1</v>
      </c>
      <c r="C10" s="409">
        <f>Datos!AQ10</f>
        <v>0</v>
      </c>
      <c r="D10" s="402">
        <f>IF(ISNUMBER(Datos!M10),Datos!M10," - ")</f>
        <v>0</v>
      </c>
      <c r="E10" s="403">
        <f>IF(ISNUMBER(D10/B10),D10/B10," - ")</f>
        <v>0</v>
      </c>
      <c r="F10" s="402">
        <f>IF(ISNUMBER(Datos!N10),Datos!N10," - ")</f>
        <v>0</v>
      </c>
      <c r="G10" s="403">
        <f>IF(ISNUMBER(F10/B10),F10/B10," - ")</f>
        <v>0</v>
      </c>
      <c r="H10" s="402">
        <f>IF(ISNUMBER(Datos!O10),Datos!O10," - ")</f>
        <v>0</v>
      </c>
      <c r="I10" s="403">
        <f t="shared" ref="I10:I12" si="2">IF(ISNUMBER(H10/B10),H10/B10," - ")</f>
        <v>0</v>
      </c>
      <c r="BZ10" s="1181">
        <f>Datos!EZ10</f>
        <v>0</v>
      </c>
    </row>
    <row r="11" spans="1:78">
      <c r="A11" s="401" t="str">
        <f>Datos!A11</f>
        <v xml:space="preserve">Sección de Familia, infancia e incapacidad del TI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1">
        <f>Datos!EZ11</f>
        <v>0</v>
      </c>
    </row>
    <row r="12" spans="1:78" ht="13.5" thickBot="1">
      <c r="A12" s="401" t="str">
        <f>Datos!A12</f>
        <v xml:space="preserve">Sección Civil y de Inst. TI                      </v>
      </c>
      <c r="B12" s="426">
        <f>Datos!AO12</f>
        <v>3</v>
      </c>
      <c r="C12" s="409">
        <f>Datos!AQ12</f>
        <v>3</v>
      </c>
      <c r="D12" s="402">
        <f>IF(ISNUMBER(Datos!M12),Datos!M12," - ")</f>
        <v>243</v>
      </c>
      <c r="E12" s="403">
        <f t="shared" si="0"/>
        <v>81</v>
      </c>
      <c r="F12" s="402">
        <f>IF(ISNUMBER(Datos!N12),Datos!N12," - ")</f>
        <v>200</v>
      </c>
      <c r="G12" s="403">
        <f t="shared" si="1"/>
        <v>66.666666666666671</v>
      </c>
      <c r="H12" s="402">
        <f>IF(ISNUMBER(Datos!O12),Datos!O12," - ")</f>
        <v>381</v>
      </c>
      <c r="I12" s="403">
        <f t="shared" si="2"/>
        <v>127</v>
      </c>
      <c r="BZ12" s="1181">
        <f>Datos!EZ12</f>
        <v>0</v>
      </c>
    </row>
    <row r="13" spans="1:78" ht="14.25" thickTop="1" thickBot="1">
      <c r="A13" s="845" t="str">
        <f>Datos!A13</f>
        <v>TOTAL</v>
      </c>
      <c r="B13" s="846">
        <f>Datos!AP13</f>
        <v>3</v>
      </c>
      <c r="C13" s="848">
        <f>Datos!AR13</f>
        <v>3</v>
      </c>
      <c r="D13" s="846">
        <f>SUBTOTAL(9,D9:D12)</f>
        <v>243</v>
      </c>
      <c r="E13" s="847">
        <f t="shared" si="0"/>
        <v>81</v>
      </c>
      <c r="F13" s="846">
        <f>SUBTOTAL(9,F9:F12)</f>
        <v>200</v>
      </c>
      <c r="G13" s="847">
        <f t="shared" si="1"/>
        <v>66.666666666666671</v>
      </c>
      <c r="H13" s="846">
        <f>SUBTOTAL(9,H9:H12)</f>
        <v>381</v>
      </c>
      <c r="I13" s="847">
        <f>IF(ISNUMBER(H13/B13),H13/B13," - ")</f>
        <v>127</v>
      </c>
      <c r="BZ13" s="1181"/>
    </row>
    <row r="14" spans="1:78" ht="13.5" thickTop="1">
      <c r="A14" s="395" t="str">
        <f>Datos!A14</f>
        <v xml:space="preserve">Jurisdicción Penal ( 2 ):                      </v>
      </c>
      <c r="B14" s="426">
        <f>Datos!AO14</f>
        <v>0</v>
      </c>
      <c r="C14" s="407"/>
      <c r="D14" s="405"/>
      <c r="E14" s="406"/>
      <c r="F14" s="405"/>
      <c r="G14" s="406"/>
      <c r="H14" s="405"/>
      <c r="I14" s="406"/>
      <c r="BZ14" s="1181">
        <f>Datos!EZ14</f>
        <v>0</v>
      </c>
    </row>
    <row r="15" spans="1:78">
      <c r="A15" s="401" t="str">
        <f>Datos!A15</f>
        <v xml:space="preserve">Seccion Instruccion Del T.I.                   </v>
      </c>
      <c r="B15" s="426">
        <f>Datos!AO15</f>
        <v>0</v>
      </c>
      <c r="C15" s="427">
        <f>Datos!AQ15</f>
        <v>0</v>
      </c>
      <c r="D15" s="402" t="str">
        <f>IF(ISNUMBER(Datos!M15),Datos!M15," - ")</f>
        <v xml:space="preserve"> - </v>
      </c>
      <c r="E15" s="403" t="str">
        <f t="shared" ref="E15:E19" si="3">IF(ISNUMBER(D15/B15),D15/B15," - ")</f>
        <v xml:space="preserve"> - </v>
      </c>
      <c r="F15" s="402" t="str">
        <f>IF(ISNUMBER(Datos!N15),Datos!N15," - ")</f>
        <v xml:space="preserve"> - </v>
      </c>
      <c r="G15" s="403" t="str">
        <f t="shared" ref="G15:G19" si="4">IF(ISNUMBER(F15/B15),F15/B15," - ")</f>
        <v xml:space="preserve"> - </v>
      </c>
      <c r="H15" s="402" t="str">
        <f>IF(ISNUMBER(Datos!O15),Datos!O15," - ")</f>
        <v xml:space="preserve"> - </v>
      </c>
      <c r="I15" s="403" t="str">
        <f t="shared" ref="I15:I18" si="5">IF(ISNUMBER(H15/B15),H15/B15," - ")</f>
        <v xml:space="preserve"> - </v>
      </c>
      <c r="BZ15" s="1181">
        <f>Datos!EZ15</f>
        <v>0</v>
      </c>
    </row>
    <row r="16" spans="1:78" s="1455" customFormat="1">
      <c r="A16" s="401" t="str">
        <f>Datos!A16</f>
        <v>Seccion Violencia contra la inf y adol.</v>
      </c>
      <c r="B16" s="426">
        <f>Datos!AO16</f>
        <v>0</v>
      </c>
      <c r="C16" s="427">
        <f>Datos!AQ16</f>
        <v>0</v>
      </c>
      <c r="D16" s="402" t="str">
        <f>IF(ISNUMBER(Datos!M16),Datos!M16," - ")</f>
        <v xml:space="preserve"> - </v>
      </c>
      <c r="E16" s="403" t="str">
        <f t="shared" ref="E16" si="6">IF(ISNUMBER(D16/B16),D16/B16," - ")</f>
        <v xml:space="preserve"> - </v>
      </c>
      <c r="F16" s="402" t="str">
        <f>IF(ISNUMBER(Datos!N16),Datos!N16," - ")</f>
        <v xml:space="preserve"> - </v>
      </c>
      <c r="G16" s="403" t="str">
        <f t="shared" ref="G16" si="7">IF(ISNUMBER(F16/B16),F16/B16," - ")</f>
        <v xml:space="preserve"> - </v>
      </c>
      <c r="H16" s="402" t="str">
        <f>IF(ISNUMBER(Datos!O16),Datos!O16," - ")</f>
        <v xml:space="preserve"> - </v>
      </c>
      <c r="I16" s="403" t="str">
        <f t="shared" ref="I16" si="8">IF(ISNUMBER(H16/B16),H16/B16," - ")</f>
        <v xml:space="preserve"> - </v>
      </c>
      <c r="BZ16" s="1421">
        <f>Datos!EZ16</f>
        <v>0</v>
      </c>
    </row>
    <row r="17" spans="1:78">
      <c r="A17" s="401" t="str">
        <f>Datos!A17</f>
        <v xml:space="preserve">Sección Civil y de Inst. TI                      </v>
      </c>
      <c r="B17" s="426">
        <f>Datos!AO17</f>
        <v>3</v>
      </c>
      <c r="C17" s="427">
        <f>Datos!AQ17</f>
        <v>3</v>
      </c>
      <c r="D17" s="402">
        <f>IF(ISNUMBER(Datos!M17),Datos!M17," - ")</f>
        <v>90</v>
      </c>
      <c r="E17" s="403">
        <f t="shared" si="3"/>
        <v>30</v>
      </c>
      <c r="F17" s="402">
        <f>IF(ISNUMBER(Datos!N17),Datos!N17," - ")</f>
        <v>262</v>
      </c>
      <c r="G17" s="403">
        <f t="shared" si="4"/>
        <v>87.333333333333329</v>
      </c>
      <c r="H17" s="402">
        <f>IF(ISNUMBER(Datos!O17),Datos!O17," - ")</f>
        <v>0</v>
      </c>
      <c r="I17" s="403">
        <f t="shared" si="5"/>
        <v>0</v>
      </c>
      <c r="BZ17" s="1181">
        <f>Datos!EZ17</f>
        <v>0</v>
      </c>
    </row>
    <row r="18" spans="1:78" ht="13.5" thickBot="1">
      <c r="A18" s="401" t="str">
        <f>Datos!A18</f>
        <v>Sección De Violencia sobre la Mujer del TI</v>
      </c>
      <c r="B18" s="426">
        <f>Datos!AO18</f>
        <v>1</v>
      </c>
      <c r="C18" s="427">
        <f>Datos!AQ18</f>
        <v>0</v>
      </c>
      <c r="D18" s="402">
        <f>IF(ISNUMBER(Datos!M18),Datos!M18," - ")</f>
        <v>0</v>
      </c>
      <c r="E18" s="403">
        <f>IF(ISNUMBER(D18/B18),D18/B18," - ")</f>
        <v>0</v>
      </c>
      <c r="F18" s="402">
        <f>IF(ISNUMBER(Datos!N18),Datos!N18," - ")</f>
        <v>0</v>
      </c>
      <c r="G18" s="403">
        <f>IF(ISNUMBER(F18/B18),F18/B18," - ")</f>
        <v>0</v>
      </c>
      <c r="H18" s="402">
        <f>IF(ISNUMBER(Datos!O18),Datos!O18," - ")</f>
        <v>0</v>
      </c>
      <c r="I18" s="403">
        <f t="shared" si="5"/>
        <v>0</v>
      </c>
      <c r="BZ18" s="1181">
        <f>Datos!EZ18</f>
        <v>0</v>
      </c>
    </row>
    <row r="19" spans="1:78" ht="14.25" thickTop="1" thickBot="1">
      <c r="A19" s="845" t="str">
        <f>Datos!A19</f>
        <v>TOTAL</v>
      </c>
      <c r="B19" s="846">
        <f>Datos!AP19</f>
        <v>3</v>
      </c>
      <c r="C19" s="848">
        <f>Datos!AR19</f>
        <v>3</v>
      </c>
      <c r="D19" s="846">
        <f>SUBTOTAL(9,D15:D18)</f>
        <v>90</v>
      </c>
      <c r="E19" s="847">
        <f t="shared" si="3"/>
        <v>30</v>
      </c>
      <c r="F19" s="846">
        <f>SUBTOTAL(9,F15:F18)</f>
        <v>262</v>
      </c>
      <c r="G19" s="847">
        <f t="shared" si="4"/>
        <v>87.333333333333329</v>
      </c>
      <c r="H19" s="846">
        <f>SUBTOTAL(9,H15:H18)</f>
        <v>0</v>
      </c>
      <c r="I19" s="847">
        <f>IF(ISNUMBER(H19/B19),H19/B19," - ")</f>
        <v>0</v>
      </c>
      <c r="BZ19" s="1181"/>
    </row>
    <row r="20" spans="1:78" ht="14.25" thickTop="1" thickBot="1">
      <c r="A20" s="790" t="str">
        <f>Datos!A20</f>
        <v>TOTAL JURISDICCIONES</v>
      </c>
      <c r="B20" s="791">
        <f>Datos!AP20</f>
        <v>3</v>
      </c>
      <c r="C20" s="791">
        <f>Datos!AR20</f>
        <v>3</v>
      </c>
      <c r="D20" s="791">
        <f>SUBTOTAL(9,D8:D19)</f>
        <v>333</v>
      </c>
      <c r="E20" s="792">
        <f>IF(ISNUMBER(D20/B20),D20/B20," - ")</f>
        <v>111</v>
      </c>
      <c r="F20" s="791">
        <f>SUBTOTAL(9,F8:F19)</f>
        <v>462</v>
      </c>
      <c r="G20" s="792">
        <f>IF(ISNUMBER(F20/B20),F20/B20," - ")</f>
        <v>154</v>
      </c>
      <c r="H20" s="791">
        <f>SUBTOTAL(9,H8:H19)</f>
        <v>381</v>
      </c>
      <c r="I20" s="792">
        <f>IF(ISNUMBER(H20/B20),H20/B20," - ")</f>
        <v>127</v>
      </c>
    </row>
    <row r="23" spans="1:78">
      <c r="A23" s="390" t="str">
        <f>Criterios!A4</f>
        <v>Fecha Informe: 18 jun. 2026</v>
      </c>
    </row>
    <row r="28" spans="1:78">
      <c r="A28" s="413"/>
    </row>
  </sheetData>
  <sheetProtection algorithmName="SHA-512" hashValue="tOD7CFAyTwDBxaFATC3vBe3ZhvSLh6sbao2868foTjnmKPaQnisb61DiP4ySKV+Ivufvs3RAdwi/o7E1ZQeBLg==" saltValue="0z2ftoCkehaDrfe2VZShb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8"/>
  <sheetViews>
    <sheetView topLeftCell="A2" zoomScale="85" zoomScaleNormal="85" workbookViewId="0">
      <selection activeCell="A28" sqref="A28"/>
    </sheetView>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ANDALUCIA</v>
      </c>
    </row>
    <row r="3" spans="1:4" ht="19.5">
      <c r="A3" s="428" t="s">
        <v>32</v>
      </c>
      <c r="B3" s="390" t="str">
        <f>Criterios!A10 &amp;"  "&amp;Criterios!B10</f>
        <v>Provincias  CADIZ</v>
      </c>
    </row>
    <row r="4" spans="1:4" ht="13.5" thickBot="1">
      <c r="B4" s="390" t="str">
        <f>Criterios!A11 &amp;"  "&amp;Criterios!B11</f>
        <v>Resumenes por Partidos Judiciales  SAN ROQUE</v>
      </c>
    </row>
    <row r="5" spans="1:4" ht="12.75" customHeight="1">
      <c r="A5" s="1489" t="str">
        <f>"Año:  " &amp;Criterios!B5 &amp; "                  Trimestre   " &amp;Criterios!D5 &amp; " al " &amp;Criterios!D6</f>
        <v>Año:  2026                  Trimestre   1 al 1</v>
      </c>
      <c r="B5" s="1503" t="s">
        <v>10</v>
      </c>
      <c r="C5" s="1503" t="s">
        <v>14</v>
      </c>
      <c r="D5" s="1503" t="s">
        <v>131</v>
      </c>
    </row>
    <row r="6" spans="1:4" ht="15.75" customHeight="1">
      <c r="A6" s="1490"/>
      <c r="B6" s="1504"/>
      <c r="C6" s="1504"/>
      <c r="D6" s="1504"/>
    </row>
    <row r="7" spans="1:4" ht="26.25" customHeight="1" thickBot="1">
      <c r="A7" s="391" t="str">
        <f>Datos!A7</f>
        <v>COMPETENCIAS</v>
      </c>
      <c r="B7" s="1505"/>
      <c r="C7" s="1505"/>
      <c r="D7" s="1505"/>
    </row>
    <row r="8" spans="1:4">
      <c r="A8" s="395" t="str">
        <f>Datos!A8</f>
        <v>Jurisdicción Civil ( 1 ):</v>
      </c>
      <c r="B8" s="429"/>
      <c r="C8" s="430"/>
      <c r="D8" s="431"/>
    </row>
    <row r="9" spans="1:4">
      <c r="A9" s="401" t="str">
        <f>Datos!A9</f>
        <v>Sección Civil del T.I</v>
      </c>
      <c r="B9" s="432" t="str">
        <f>IF(ISNUMBER(Datos!P9),Datos!P9," - ")</f>
        <v xml:space="preserve"> - </v>
      </c>
      <c r="C9" s="433" t="str">
        <f>IF(ISNUMBER(Datos!Q9),Datos!Q9," - ")</f>
        <v xml:space="preserve"> - </v>
      </c>
      <c r="D9" s="407" t="str">
        <f>IF(ISNUMBER(Datos!R9),Datos!R9," - ")</f>
        <v xml:space="preserve"> - </v>
      </c>
    </row>
    <row r="10" spans="1:4">
      <c r="A10" s="401" t="str">
        <f>Datos!A10</f>
        <v>Sección De Violencia sobre la Mujer del TI</v>
      </c>
      <c r="B10" s="432">
        <f>IF(ISNUMBER(Datos!P10),Datos!P10," - ")</f>
        <v>0</v>
      </c>
      <c r="C10" s="433">
        <f>IF(ISNUMBER(Datos!Q10),Datos!Q10," - ")</f>
        <v>0</v>
      </c>
      <c r="D10" s="407">
        <f>IF(ISNUMBER(Datos!R10),Datos!R10," - ")</f>
        <v>0</v>
      </c>
    </row>
    <row r="11" spans="1:4">
      <c r="A11" s="401" t="str">
        <f>Datos!A11</f>
        <v xml:space="preserve">Sección de Familia, infancia e incapacidad del TI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Sección Civil y de Inst. TI                      </v>
      </c>
      <c r="B12" s="432">
        <f>IF(ISNUMBER(Datos!P12),Datos!P12," - ")</f>
        <v>230</v>
      </c>
      <c r="C12" s="433">
        <f>IF(ISNUMBER(Datos!Q12),Datos!Q12," - ")</f>
        <v>279</v>
      </c>
      <c r="D12" s="407">
        <f>IF(ISNUMBER(Datos!R12),Datos!R12," - ")</f>
        <v>2852</v>
      </c>
    </row>
    <row r="13" spans="1:4" ht="14.25" thickTop="1" thickBot="1">
      <c r="A13" s="845" t="str">
        <f>Datos!A13</f>
        <v>TOTAL</v>
      </c>
      <c r="B13" s="846">
        <f>SUBTOTAL(9,B9:B12)</f>
        <v>230</v>
      </c>
      <c r="C13" s="850">
        <f>SUBTOTAL(9,C9:C12)</f>
        <v>279</v>
      </c>
      <c r="D13" s="848">
        <f>SUBTOTAL(9,D9:D12)</f>
        <v>2852</v>
      </c>
    </row>
    <row r="14" spans="1:4" ht="13.5" thickTop="1">
      <c r="A14" s="395" t="str">
        <f>Datos!A14</f>
        <v xml:space="preserve">Jurisdicción Penal ( 2 ):                      </v>
      </c>
      <c r="B14" s="405"/>
      <c r="C14" s="434"/>
      <c r="D14" s="407"/>
    </row>
    <row r="15" spans="1:4">
      <c r="A15" s="401" t="str">
        <f>Datos!A15</f>
        <v xml:space="preserve">Seccion Instruccion Del T.I.                   </v>
      </c>
      <c r="B15" s="432" t="str">
        <f>IF(ISNUMBER(Datos!P15),Datos!P15," - ")</f>
        <v xml:space="preserve"> - </v>
      </c>
      <c r="C15" s="433" t="str">
        <f>IF(ISNUMBER(Datos!Q15),Datos!Q15," - ")</f>
        <v xml:space="preserve"> - </v>
      </c>
      <c r="D15" s="407" t="str">
        <f>IF(ISNUMBER(Datos!R15),Datos!R15," - ")</f>
        <v xml:space="preserve"> - </v>
      </c>
    </row>
    <row r="16" spans="1:4" s="1455" customFormat="1">
      <c r="A16" s="401" t="str">
        <f>Datos!A16</f>
        <v>Seccion Violencia contra la inf y adol.</v>
      </c>
      <c r="B16" s="432" t="str">
        <f>IF(ISNUMBER(Datos!P16),Datos!P16," - ")</f>
        <v xml:space="preserve"> - </v>
      </c>
      <c r="C16" s="433" t="str">
        <f>IF(ISNUMBER(Datos!Q16),Datos!Q16," - ")</f>
        <v xml:space="preserve"> - </v>
      </c>
      <c r="D16" s="407" t="str">
        <f>IF(ISNUMBER(Datos!R16),Datos!R16," - ")</f>
        <v xml:space="preserve"> - </v>
      </c>
    </row>
    <row r="17" spans="1:4">
      <c r="A17" s="401" t="str">
        <f>Datos!A17</f>
        <v xml:space="preserve">Sección Civil y de Inst. TI                      </v>
      </c>
      <c r="B17" s="432">
        <f>IF(ISNUMBER(Datos!P17),Datos!P17," - ")</f>
        <v>7</v>
      </c>
      <c r="C17" s="433">
        <f>IF(ISNUMBER(Datos!Q17),Datos!Q17," - ")</f>
        <v>17</v>
      </c>
      <c r="D17" s="407">
        <f>IF(ISNUMBER(Datos!R17),Datos!R17," - ")</f>
        <v>51</v>
      </c>
    </row>
    <row r="18" spans="1:4" ht="13.5" thickBot="1">
      <c r="A18" s="401" t="str">
        <f>Datos!A18</f>
        <v>Sección De Violencia sobre la Mujer del TI</v>
      </c>
      <c r="B18" s="432">
        <f>IF(ISNUMBER(Datos!P18),Datos!P18," - ")</f>
        <v>0</v>
      </c>
      <c r="C18" s="433">
        <f>IF(ISNUMBER(Datos!Q18),Datos!Q18," - ")</f>
        <v>0</v>
      </c>
      <c r="D18" s="407">
        <f>IF(ISNUMBER(Datos!R18),Datos!R18," - ")</f>
        <v>4</v>
      </c>
    </row>
    <row r="19" spans="1:4" ht="14.25" thickTop="1" thickBot="1">
      <c r="A19" s="845" t="str">
        <f>Datos!A19</f>
        <v>TOTAL</v>
      </c>
      <c r="B19" s="846">
        <f>SUBTOTAL(9,B15:B18)</f>
        <v>7</v>
      </c>
      <c r="C19" s="850">
        <f>SUBTOTAL(9,C15:C18)</f>
        <v>17</v>
      </c>
      <c r="D19" s="848">
        <f>SUBTOTAL(9,D15:D18)</f>
        <v>55</v>
      </c>
    </row>
    <row r="20" spans="1:4" ht="16.5" customHeight="1" thickTop="1" thickBot="1">
      <c r="A20" s="790" t="str">
        <f>Datos!A20</f>
        <v>TOTAL JURISDICCIONES</v>
      </c>
      <c r="B20" s="795">
        <f>SUBTOTAL(9,B8:B19)</f>
        <v>237</v>
      </c>
      <c r="C20" s="796">
        <f>SUBTOTAL(9,C8:C19)</f>
        <v>296</v>
      </c>
      <c r="D20" s="797">
        <f>SUBTOTAL(9,D8:D19)</f>
        <v>2907</v>
      </c>
    </row>
    <row r="21" spans="1:4" ht="7.5" customHeight="1"/>
    <row r="22" spans="1:4" ht="6" customHeight="1"/>
    <row r="23" spans="1:4">
      <c r="A23" s="390" t="str">
        <f>Criterios!A4</f>
        <v>Fecha Informe: 18 jun. 2026</v>
      </c>
    </row>
    <row r="28" spans="1:4">
      <c r="A28" s="413"/>
    </row>
  </sheetData>
  <sheetProtection algorithmName="SHA-512" hashValue="i6CwUsd0OeRLtQZXPrw/iEPE+MbJbuolv0xMtG5ZthzY3Hp82t6WtypS6bQskDveefWr3J1c5B/0Yjm+/rL4Ng==" saltValue="a0Xg/1Lht7uARj+spSfyD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0"/>
  <sheetViews>
    <sheetView topLeftCell="A3" zoomScale="85" zoomScaleNormal="85" workbookViewId="0">
      <selection activeCell="A25" sqref="A25:XFD25"/>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ANDALUCIA</v>
      </c>
    </row>
    <row r="3" spans="1:11" ht="18.75" customHeight="1">
      <c r="A3" s="428" t="s">
        <v>118</v>
      </c>
      <c r="B3" s="390" t="str">
        <f>Criterios!A10 &amp;"  "&amp;Criterios!B10</f>
        <v>Provincias  CADIZ</v>
      </c>
    </row>
    <row r="4" spans="1:11" ht="10.5" customHeight="1" thickBot="1">
      <c r="B4" s="390" t="str">
        <f>Criterios!A11 &amp;"  "&amp;Criterios!B11</f>
        <v>Resumenes por Partidos Judiciales  SAN ROQUE</v>
      </c>
    </row>
    <row r="5" spans="1:11" ht="12.75" customHeight="1">
      <c r="A5" s="1489" t="str">
        <f>"Año:  " &amp;Criterios!B5 &amp; "    Trimestre   " &amp;Criterios!D5 &amp; " al " &amp;Criterios!D6</f>
        <v>Año:  2026    Trimestre   1 al 1</v>
      </c>
      <c r="B5" s="1486" t="s">
        <v>130</v>
      </c>
      <c r="C5" s="1511" t="s">
        <v>13</v>
      </c>
      <c r="D5" s="1470" t="s">
        <v>9</v>
      </c>
      <c r="E5" s="1470" t="s">
        <v>131</v>
      </c>
      <c r="F5" s="1511" t="s">
        <v>7</v>
      </c>
      <c r="G5" s="1508" t="s">
        <v>8</v>
      </c>
      <c r="H5" s="1501" t="s">
        <v>119</v>
      </c>
      <c r="I5" s="1516" t="s">
        <v>120</v>
      </c>
      <c r="J5" s="1519" t="s">
        <v>121</v>
      </c>
      <c r="K5" s="1483" t="s">
        <v>122</v>
      </c>
    </row>
    <row r="6" spans="1:11" ht="12.75" customHeight="1">
      <c r="A6" s="1490"/>
      <c r="B6" s="1487"/>
      <c r="C6" s="1512"/>
      <c r="D6" s="1471"/>
      <c r="E6" s="1471"/>
      <c r="F6" s="1512"/>
      <c r="G6" s="1509"/>
      <c r="H6" s="1514"/>
      <c r="I6" s="1517"/>
      <c r="J6" s="1520"/>
      <c r="K6" s="1522"/>
    </row>
    <row r="7" spans="1:11" ht="23.25" customHeight="1" thickBot="1">
      <c r="A7" s="391" t="str">
        <f>Datos!A7</f>
        <v>COMPETENCIAS</v>
      </c>
      <c r="B7" s="1488"/>
      <c r="C7" s="1513"/>
      <c r="D7" s="1472"/>
      <c r="E7" s="1472"/>
      <c r="F7" s="1513"/>
      <c r="G7" s="1510"/>
      <c r="H7" s="1515"/>
      <c r="I7" s="1518"/>
      <c r="J7" s="1521"/>
      <c r="K7" s="1523"/>
    </row>
    <row r="8" spans="1:11">
      <c r="A8" s="395" t="str">
        <f>Datos!A8</f>
        <v>Jurisdicción Civil ( 1 ):</v>
      </c>
      <c r="B8" s="448"/>
      <c r="C8" s="449"/>
      <c r="D8" s="449"/>
      <c r="E8" s="449"/>
      <c r="F8" s="450"/>
      <c r="G8" s="451"/>
      <c r="H8" s="437"/>
      <c r="I8" s="438"/>
      <c r="J8" s="439"/>
      <c r="K8" s="452"/>
    </row>
    <row r="9" spans="1:11">
      <c r="A9" s="401" t="str">
        <f>Datos!A9</f>
        <v>Sección Civil del T.I</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Sección De Violencia sobre la Mujer del TI</v>
      </c>
      <c r="B10" s="454" t="str">
        <f>IF(ISNUMBER((Datos!I10-Datos!S10)/Datos!S10),(Datos!I10-Datos!S10)/Datos!S10," - ")</f>
        <v xml:space="preserve"> - </v>
      </c>
      <c r="C10" s="455" t="str">
        <f>IF(ISNUMBER((Datos!J10-Datos!T10)/Datos!T10),(Datos!J10-Datos!T10)/Datos!T10," - ")</f>
        <v xml:space="preserve"> - </v>
      </c>
      <c r="D10" s="455" t="str">
        <f>IF(ISNUMBER((Datos!K10-Datos!U10)/Datos!U10),(Datos!K10-Datos!U10)/Datos!U10," - ")</f>
        <v xml:space="preserve"> - </v>
      </c>
      <c r="E10" s="455" t="str">
        <f>IF(ISNUMBER((Datos!L10-Datos!V10)/Datos!V10),(Datos!L10-Datos!V10)/Datos!V10," - ")</f>
        <v xml:space="preserve"> - </v>
      </c>
      <c r="F10" s="455" t="str">
        <f>IF(ISNUMBER((Datos!M10-Datos!W10)/Datos!W10),(Datos!M10-Datos!W10)/Datos!W10," - ")</f>
        <v xml:space="preserve"> - </v>
      </c>
      <c r="G10" s="456" t="str">
        <f>IF(ISNUMBER((Datos!N10-Datos!X10)/Datos!X10),(Datos!N10-Datos!X10)/Datos!X10," - ")</f>
        <v xml:space="preserve"> - </v>
      </c>
      <c r="H10" s="454" t="str">
        <f>IF(ISNUMBER(((NºAsuntos!G10/NºAsuntos!E10)-Datos!BD10)/Datos!BD10),((NºAsuntos!G10/NºAsuntos!E10)-Datos!BD10)/Datos!BD10," - ")</f>
        <v xml:space="preserve"> - </v>
      </c>
      <c r="I10" s="455" t="str">
        <f>IF(ISNUMBER(((NºAsuntos!I10/NºAsuntos!G10)-Datos!BE10)/Datos!BE10),((NºAsuntos!I10/NºAsuntos!G10)-Datos!BE10)/Datos!BE10," - ")</f>
        <v xml:space="preserve"> - </v>
      </c>
      <c r="J10" s="460" t="str">
        <f>IF(ISNUMBER((('Resol  Asuntos'!D10/NºAsuntos!G10)-Datos!BF10)/Datos!BF10),(('Resol  Asuntos'!D10/NºAsuntos!G10)-Datos!BF10)/Datos!BF10," - ")</f>
        <v xml:space="preserve"> - </v>
      </c>
      <c r="K10" s="461" t="str">
        <f>IF(ISNUMBER((((NºAsuntos!C10+NºAsuntos!E10)/NºAsuntos!G10)-Datos!BG10)/Datos!BG10),(((NºAsuntos!C10+NºAsuntos!E10)/NºAsuntos!G10)-Datos!BG10)/Datos!BG10," - ")</f>
        <v xml:space="preserve"> - </v>
      </c>
    </row>
    <row r="11" spans="1:11" ht="21">
      <c r="A11" s="401" t="str">
        <f>Datos!A11</f>
        <v xml:space="preserve">Sección de Familia, infancia e incapacidad del TI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13.5" thickBot="1">
      <c r="A12" s="401" t="str">
        <f>Datos!A12</f>
        <v xml:space="preserve">Sección Civil y de Inst. TI                      </v>
      </c>
      <c r="B12" s="454">
        <f>IF(ISNUMBER(
   IF(J_V="SI",(Datos!I12-Datos!S12)/Datos!S12,(Datos!I12+Datos!Y12-(Datos!S12+Datos!AG12))/(Datos!S12+Datos!AG12))
     ),IF(J_V="SI",(Datos!I12-Datos!S12)/Datos!S12,(Datos!I12+Datos!Y12-(Datos!S12+Datos!AG12))/(Datos!S12+Datos!AG12))," - ")</f>
        <v>-0.2401635155850792</v>
      </c>
      <c r="C12" s="455">
        <f>IF(ISNUMBER(
   IF(J_V="SI",(Datos!J12-Datos!T12)/Datos!T12,(Datos!J12+Datos!Z12-(Datos!T12+Datos!AH12))/(Datos!T12+Datos!AH12))
     ),IF(J_V="SI",(Datos!J12-Datos!T12)/Datos!T12,(Datos!J12+Datos!Z12-(Datos!T12+Datos!AH12))/(Datos!T12+Datos!AH12))," - ")</f>
        <v>-0.41204588910133844</v>
      </c>
      <c r="D12" s="455">
        <f>IF(ISNUMBER(
   IF(J_V="SI",(Datos!K12-Datos!U12)/Datos!U12,(Datos!K12+Datos!AA12-(Datos!U12+Datos!AI12))/(Datos!U12+Datos!AI12))
     ),IF(J_V="SI",(Datos!K12-Datos!U12)/Datos!U12,(Datos!K12+Datos!AA12-(Datos!U12+Datos!AI12))/(Datos!U12+Datos!AI12))," - ")</f>
        <v>-0.23642943305186973</v>
      </c>
      <c r="E12" s="455">
        <f>IF(ISNUMBER(
   IF(J_V="SI",(Datos!L12-Datos!V12)/Datos!V12,(Datos!L12+Datos!AB12-(Datos!V12+Datos!AJ12))/(Datos!V12+Datos!AJ12))
     ),IF(J_V="SI",(Datos!L12-Datos!V12)/Datos!V12,(Datos!L12+Datos!AB12-(Datos!V12+Datos!AJ12))/(Datos!V12+Datos!AJ12))," - ")</f>
        <v>-0.23505059797608097</v>
      </c>
      <c r="F12" s="455">
        <f>IF(ISNUMBER((Datos!M12-Datos!W12)/Datos!W12),(Datos!M12-Datos!W12)/Datos!W12," - ")</f>
        <v>0.43786982248520712</v>
      </c>
      <c r="G12" s="456">
        <f>IF(ISNUMBER((Datos!N12-Datos!X12)/Datos!X12),(Datos!N12-Datos!X12)/Datos!X12," - ")</f>
        <v>-0.61977186311787069</v>
      </c>
      <c r="H12" s="454">
        <f>IF(ISNUMBER(((NºAsuntos!G12/NºAsuntos!E12)-Datos!BD12)/Datos!BD12),((NºAsuntos!G12/NºAsuntos!E12)-Datos!BD12)/Datos!BD12," - ")</f>
        <v>0.29869075289064118</v>
      </c>
      <c r="I12" s="455">
        <f>IF(ISNUMBER(((NºAsuntos!I12/NºAsuntos!G12)-Datos!BE12)/Datos!BE12),((NºAsuntos!I12/NºAsuntos!G12)-Datos!BE12)/Datos!BE12," - ")</f>
        <v>1.8057729507565351E-3</v>
      </c>
      <c r="J12" s="460">
        <f>IF(ISNUMBER((('Resol  Asuntos'!D12/NºAsuntos!G12)-Datos!BF12)/Datos!BF12),(('Resol  Asuntos'!D12/NºAsuntos!G12)-Datos!BF12)/Datos!BF12," - ")</f>
        <v>-0.39497774494080329</v>
      </c>
      <c r="K12" s="461">
        <f>IF(ISNUMBER((((NºAsuntos!C12+NºAsuntos!E12)/NºAsuntos!G12)-Datos!BG12)/Datos!BG12),(((NºAsuntos!C12+NºAsuntos!E12)/NºAsuntos!G12)-Datos!BG12)/Datos!BG12," - ")</f>
        <v>-8.329795533586995E-2</v>
      </c>
    </row>
    <row r="13" spans="1:11" ht="14.25" thickTop="1" thickBot="1">
      <c r="A13" s="845" t="str">
        <f>Datos!A13</f>
        <v>TOTAL</v>
      </c>
      <c r="B13" s="851">
        <f>IF(ISNUMBER(
   IF(J_V="SI",(Datos!I13-Datos!S13)/Datos!S13,(Datos!I13+Datos!Y13-(Datos!S13+Datos!AG13))/(Datos!S13+Datos!AG13))
     ),IF(J_V="SI",(Datos!I13-Datos!S13)/Datos!S13,(Datos!I13+Datos!Y13-(Datos!S13+Datos!AG13))/(Datos!S13+Datos!AG13))," - ")</f>
        <v>-0.2401635155850792</v>
      </c>
      <c r="C13" s="852">
        <f>IF(ISNUMBER(
   IF(J_V="SI",(Datos!J13-Datos!T13)/Datos!T13,(Datos!J13+Datos!Z13-(Datos!T13+Datos!AH13))/(Datos!T13+Datos!AH13))
     ),IF(J_V="SI",(Datos!J13-Datos!T13)/Datos!T13,(Datos!J13+Datos!Z13-(Datos!T13+Datos!AH13))/(Datos!T13+Datos!AH13))," - ")</f>
        <v>-0.41204588910133844</v>
      </c>
      <c r="D13" s="852">
        <f>IF(ISNUMBER(
   IF(J_V="SI",(Datos!K13-Datos!U13)/Datos!U13,(Datos!K13+Datos!AA13-(Datos!U13+Datos!AI13))/(Datos!U13+Datos!AI13))
     ),IF(J_V="SI",(Datos!K13-Datos!U13)/Datos!U13,(Datos!K13+Datos!AA13-(Datos!U13+Datos!AI13))/(Datos!U13+Datos!AI13))," - ")</f>
        <v>-0.23642943305186973</v>
      </c>
      <c r="E13" s="852">
        <f>IF(ISNUMBER(
   IF(J_V="SI",(Datos!L13-Datos!V13)/Datos!V13,(Datos!L13+Datos!AB13-(Datos!V13+Datos!AJ13))/(Datos!V13+Datos!AJ13))
     ),IF(J_V="SI",(Datos!L13-Datos!V13)/Datos!V13,(Datos!L13+Datos!AB13-(Datos!V13+Datos!AJ13))/(Datos!V13+Datos!AJ13))," - ")</f>
        <v>-0.23505059797608097</v>
      </c>
      <c r="F13" s="853">
        <f>IF(ISNUMBER((Datos!M13-Datos!W13)/Datos!W13),(Datos!M13-Datos!W13)/Datos!W13," - ")</f>
        <v>0.43786982248520712</v>
      </c>
      <c r="G13" s="854">
        <f>IF(ISNUMBER((Datos!N13-Datos!X13)/Datos!X13),(Datos!N13-Datos!X13)/Datos!X13," - ")</f>
        <v>-0.61977186311787069</v>
      </c>
      <c r="H13" s="854">
        <f>IF(ISNUMBER(((NºAsuntos!G13/NºAsuntos!E13)-Datos!BD13)/Datos!BD13),((NºAsuntos!G13/NºAsuntos!E13)-Datos!BD13)/Datos!BD13," - ")</f>
        <v>0.29869075289064118</v>
      </c>
      <c r="I13" s="854">
        <f>IF(ISNUMBER(((NºAsuntos!I13/NºAsuntos!G13)-Datos!BE13)/Datos!BE13),((NºAsuntos!I13/NºAsuntos!G13)-Datos!BE13)/Datos!BE13," - ")</f>
        <v>1.8057729507565351E-3</v>
      </c>
      <c r="J13" s="854">
        <f>IF(ISNUMBER((('Resol  Asuntos'!D13/NºAsuntos!G13)-Datos!BF13)/Datos!BF13),(('Resol  Asuntos'!D13/NºAsuntos!G13)-Datos!BF13)/Datos!BF13," - ")</f>
        <v>-0.39497774494080329</v>
      </c>
      <c r="K13" s="854">
        <f>IF(ISNUMBER((((NºAsuntos!C13+NºAsuntos!E13)/NºAsuntos!G13)-Datos!BG13)/Datos!BG13),(((NºAsuntos!C13+NºAsuntos!E13)/NºAsuntos!G13)-Datos!BG13)/Datos!BG13," - ")</f>
        <v>-8.329795533586995E-2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Seccion Instruccion Del T.I.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s="1455" customFormat="1" ht="21">
      <c r="A16" s="401" t="str">
        <f>Datos!A16</f>
        <v>Seccion Violencia contra la inf y adol.</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c r="A17" s="401" t="str">
        <f>Datos!A17</f>
        <v xml:space="preserve">Sección Civil y de Inst. TI                      </v>
      </c>
      <c r="B17" s="454">
        <f>IF(ISNUMBER(
   IF(D_I="SI",(Datos!I17-Datos!S17)/Datos!S17,(Datos!I17+Datos!AC17-(Datos!S17+Datos!AK17))/(Datos!S17+Datos!AK17))
     ),IF(D_I="SI",(Datos!I17-Datos!S17)/Datos!S17,(Datos!I17+Datos!AC17-(Datos!S17+Datos!AK17))/(Datos!S17+Datos!AK17))," - ")</f>
        <v>-0.15361077111383109</v>
      </c>
      <c r="C17" s="455">
        <f>IF(ISNUMBER(
   IF(D_I="SI",(Datos!J17-Datos!T17)/Datos!T17,(Datos!J17+Datos!AD17-(Datos!T17+Datos!AL17))/(Datos!T17+Datos!AL17))
     ),IF(D_I="SI",(Datos!J17-Datos!T17)/Datos!T17,(Datos!J17+Datos!AD17-(Datos!T17+Datos!AL17))/(Datos!T17+Datos!AL17))," - ")</f>
        <v>-0.34698275862068967</v>
      </c>
      <c r="D17" s="455">
        <f>IF(ISNUMBER(
   IF(D_I="SI",(Datos!K17-Datos!U17)/Datos!U17,(Datos!K17+Datos!AE17-(Datos!U17+Datos!AM17))/(Datos!U17+Datos!AM17))
     ),IF(D_I="SI",(Datos!K17-Datos!U17)/Datos!U17,(Datos!K17+Datos!AE17-(Datos!U17+Datos!AM17))/(Datos!U17+Datos!AM17))," - ")</f>
        <v>-0.12525252525252525</v>
      </c>
      <c r="E17" s="455">
        <f>IF(ISNUMBER(
   IF(D_I="SI",(Datos!L17-Datos!V17)/Datos!V17,(Datos!L17+Datos!AF17-(Datos!V17+Datos!AN17))/(Datos!V17+Datos!AN17))
     ),IF(D_I="SI",(Datos!L17-Datos!V17)/Datos!V17,(Datos!L17+Datos!AF17-(Datos!V17+Datos!AN17))/(Datos!V17+Datos!AN17))," - ")</f>
        <v>-0.11977542108546475</v>
      </c>
      <c r="F17" s="455">
        <f>IF(ISNUMBER((Datos!M17-Datos!W17)/Datos!W17),(Datos!M17-Datos!W17)/Datos!W17," - ")</f>
        <v>-0.19642857142857142</v>
      </c>
      <c r="G17" s="456">
        <f>IF(ISNUMBER((Datos!N17-Datos!X17)/Datos!X17),(Datos!N17-Datos!X17)/Datos!X17," - ")</f>
        <v>0.37172774869109948</v>
      </c>
      <c r="H17" s="454">
        <f>IF(ISNUMBER(((NºAsuntos!G17/NºAsuntos!E17)-Datos!BD17)/Datos!BD17),((NºAsuntos!G17/NºAsuntos!E17)-Datos!BD17)/Datos!BD17," - ")</f>
        <v>0.33954728806213952</v>
      </c>
      <c r="I17" s="455">
        <f>IF(ISNUMBER(((NºAsuntos!I17/NºAsuntos!G17)-Datos!BE17)/Datos!BE17),((NºAsuntos!I17/NºAsuntos!G17)-Datos!BE17)/Datos!BE17," - ")</f>
        <v>6.2613546482561365E-3</v>
      </c>
      <c r="J17" s="460">
        <f>IF(ISNUMBER((('Resol  Asuntos'!D17/NºAsuntos!G17)-Datos!BF17)/Datos!BF17),(('Resol  Asuntos'!D17/NºAsuntos!G17)-Datos!BF17)/Datos!BF17," - ")</f>
        <v>-8.1367535466842625E-2</v>
      </c>
      <c r="K17" s="461">
        <f>IF(ISNUMBER((((NºAsuntos!C17+NºAsuntos!E17)/NºAsuntos!G17)-Datos!BG17)/Datos!BG17),(((NºAsuntos!C17+NºAsuntos!E17)/NºAsuntos!G17)-Datos!BG17)/Datos!BG17," - ")</f>
        <v>-8.1309153994676614E-2</v>
      </c>
    </row>
    <row r="18" spans="1:12" ht="21.75" thickBot="1">
      <c r="A18" s="401" t="str">
        <f>Datos!A18</f>
        <v>Sección De Violencia sobre la Mujer del TI</v>
      </c>
      <c r="B18" s="454">
        <f>IF(ISNUMBER(
   IF(D_I="SI",(Datos!I18-Datos!S18)/Datos!S18,(Datos!I18+Datos!AC18-(Datos!S18+Datos!AK18))/(Datos!S18+Datos!AK18))
     ),IF(D_I="SI",(Datos!I18-Datos!S18)/Datos!S18,(Datos!I18+Datos!AC18-(Datos!S18+Datos!AK18))/(Datos!S18+Datos!AK18))," - ")</f>
        <v>-0.56666666666666665</v>
      </c>
      <c r="C18" s="455">
        <f>IF(ISNUMBER(
   IF(D_I="SI",(Datos!J18-Datos!T18)/Datos!T18,(Datos!J18+Datos!AD18-(Datos!T18+Datos!AL18))/(Datos!T18+Datos!AL18))
     ),IF(D_I="SI",(Datos!J18-Datos!T18)/Datos!T18,(Datos!J18+Datos!AD18-(Datos!T18+Datos!AL18))/(Datos!T18+Datos!AL18))," - ")</f>
        <v>-1</v>
      </c>
      <c r="D18" s="455">
        <f>IF(ISNUMBER(
   IF(D_I="SI",(Datos!K18-Datos!U18)/Datos!U18,(Datos!K18+Datos!AE18-(Datos!U18+Datos!AM18))/(Datos!U18+Datos!AM18))
     ),IF(D_I="SI",(Datos!K18-Datos!U18)/Datos!U18,(Datos!K18+Datos!AE18-(Datos!U18+Datos!AM18))/(Datos!U18+Datos!AM18))," - ")</f>
        <v>-1</v>
      </c>
      <c r="E18" s="455">
        <f>IF(ISNUMBER(
   IF(D_I="SI",(Datos!L18-Datos!V18)/Datos!V18,(Datos!L18+Datos!AF18-(Datos!V18+Datos!AN18))/(Datos!V18+Datos!AN18))
     ),IF(D_I="SI",(Datos!L18-Datos!V18)/Datos!V18,(Datos!L18+Datos!AF18-(Datos!V18+Datos!AN18))/(Datos!V18+Datos!AN18))," - ")</f>
        <v>-0.1875</v>
      </c>
      <c r="F18" s="455" t="str">
        <f>IF(ISNUMBER((Datos!M18-Datos!W18)/Datos!W18),(Datos!M18-Datos!W18)/Datos!W18," - ")</f>
        <v xml:space="preserve"> - </v>
      </c>
      <c r="G18" s="456">
        <f>IF(ISNUMBER((Datos!N18-Datos!X18)/Datos!X18),(Datos!N18-Datos!X18)/Datos!X18," - ")</f>
        <v>-1</v>
      </c>
      <c r="H18" s="454" t="str">
        <f>IF(ISNUMBER(((NºAsuntos!G18/NºAsuntos!E18)-Datos!BD18)/Datos!BD18),((NºAsuntos!G18/NºAsuntos!E18)-Datos!BD18)/Datos!BD18," - ")</f>
        <v xml:space="preserve"> - </v>
      </c>
      <c r="I18" s="455" t="str">
        <f>IF(ISNUMBER(((NºAsuntos!I18/NºAsuntos!G18)-Datos!BE18)/Datos!BE18),((NºAsuntos!I18/NºAsuntos!G18)-Datos!BE18)/Datos!BE18," - ")</f>
        <v xml:space="preserve"> - </v>
      </c>
      <c r="J18" s="460" t="str">
        <f>IF(ISNUMBER((('Resol  Asuntos'!D18/NºAsuntos!G18)-Datos!BF18)/Datos!BF18),(('Resol  Asuntos'!D18/NºAsuntos!G18)-Datos!BF18)/Datos!BF18," - ")</f>
        <v xml:space="preserve"> - </v>
      </c>
      <c r="K18" s="461" t="str">
        <f>IF(ISNUMBER((((NºAsuntos!C18+NºAsuntos!E18)/NºAsuntos!G18)-Datos!BG18)/Datos!BG18),(((NºAsuntos!C18+NºAsuntos!E18)/NºAsuntos!G18)-Datos!BG18)/Datos!BG18," - ")</f>
        <v xml:space="preserve"> - </v>
      </c>
    </row>
    <row r="19" spans="1:12" ht="14.25" thickTop="1" thickBot="1">
      <c r="A19" s="845" t="str">
        <f>Datos!A19</f>
        <v>TOTAL</v>
      </c>
      <c r="B19" s="851">
        <f>IF(ISNUMBER(
   IF(Criterios!B14="SI",(Datos!I19-Datos!S19)/Datos!S19,(Datos!I19+Datos!AC19-(Datos!S19+Datos!AK19))/(Datos!S19+Datos!AK19))
     ),IF(Criterios!B14="SI",(Datos!I19-Datos!S19)/Datos!S19,(Datos!I19+Datos!AC19-(Datos!S19+Datos!AK19))/(Datos!S19+Datos!AK19))," - ")</f>
        <v>-0.16105769230769232</v>
      </c>
      <c r="C19" s="852">
        <f>IF(ISNUMBER(
   IF(Criterios!B14="SI",(Datos!J19-Datos!T19)/Datos!T19,(Datos!J19+Datos!AD19-(Datos!T19+Datos!AL19))/(Datos!T19+Datos!AL19))
     ),IF(Criterios!B14="SI",(Datos!J19-Datos!T19)/Datos!T19,(Datos!J19+Datos!AD19-(Datos!T19+Datos!AL19))/(Datos!T19+Datos!AL19))," - ")</f>
        <v>-0.34978540772532191</v>
      </c>
      <c r="D19" s="852">
        <f>IF(ISNUMBER(
   IF(Criterios!B14="SI",(Datos!K19-Datos!U19)/Datos!U19,(Datos!K19+Datos!AE19-(Datos!U19+Datos!AM19))/(Datos!U19+Datos!AM19))
     ),IF(Criterios!B14="SI",(Datos!K19-Datos!U19)/Datos!U19,(Datos!K19+Datos!AE19-(Datos!U19+Datos!AM19))/(Datos!U19+Datos!AM19))," - ")</f>
        <v>-0.14931237721021612</v>
      </c>
      <c r="E19" s="852">
        <f>IF(ISNUMBER(
   IF(Criterios!B14="SI",(Datos!L19-Datos!V19)/Datos!V19,(Datos!L19+Datos!AF19-(Datos!V19+Datos!AN19))/(Datos!V19+Datos!AN19))
     ),IF(Criterios!B14="SI",(Datos!L19-Datos!V19)/Datos!V19,(Datos!L19+Datos!AF19-(Datos!V19+Datos!AN19))/(Datos!V19+Datos!AN19))," - ")</f>
        <v>-0.12044471896232242</v>
      </c>
      <c r="F19" s="853">
        <f>IF(ISNUMBER((Datos!M19-Datos!W19)/Datos!W19),(Datos!M19-Datos!W19)/Datos!W19," - ")</f>
        <v>-0.19642857142857142</v>
      </c>
      <c r="G19" s="854">
        <f>IF(ISNUMBER((Datos!N19-Datos!X19)/Datos!X19),(Datos!N19-Datos!X19)/Datos!X19," - ")</f>
        <v>0.32994923857868019</v>
      </c>
      <c r="H19" s="854">
        <f>IF(ISNUMBER(((NºAsuntos!G19/NºAsuntos!E19)-Datos!BD19)/Datos!BD19),((NºAsuntos!G19/NºAsuntos!E19)-Datos!BD19)/Datos!BD19," - ")</f>
        <v>0.30831825815194497</v>
      </c>
      <c r="I19" s="854">
        <f>IF(ISNUMBER(((NºAsuntos!I19/NºAsuntos!G19)-Datos!BE19)/Datos!BE19),((NºAsuntos!I19/NºAsuntos!G19)-Datos!BE19)/Datos!BE19," - ")</f>
        <v>3.3934498956530855E-2</v>
      </c>
      <c r="J19" s="854">
        <f>IF(ISNUMBER((('Resol  Asuntos'!D19/NºAsuntos!G19)-Datos!BF19)/Datos!BF19),(('Resol  Asuntos'!D19/NºAsuntos!G19)-Datos!BF19)/Datos!BF19," - ")</f>
        <v>-5.5386011217419963E-2</v>
      </c>
      <c r="K19" s="854">
        <f>IF(ISNUMBER((((NºAsuntos!C19+NºAsuntos!E19)/NºAsuntos!G19)-Datos!BG19)/Datos!BG19),(((NºAsuntos!C19+NºAsuntos!E19)/NºAsuntos!G19)-Datos!BG19)/Datos!BG19," - ")</f>
        <v>-6.2343731364321447E-2</v>
      </c>
    </row>
    <row r="20" spans="1:12" ht="15.75" customHeight="1" thickTop="1" thickBot="1">
      <c r="A20" s="790" t="str">
        <f>Datos!A20</f>
        <v>TOTAL JURISDICCIONES</v>
      </c>
      <c r="B20" s="798">
        <f>IF(ISNUMBER(
   IF(J_V="SI",(Datos!I20-Datos!S20)/Datos!S20,(Datos!I20+Datos!Y20-(Datos!S20+Datos!AG20))/(Datos!S20+Datos!AG20))
     ),IF(J_V="SI",(Datos!I20-Datos!S20)/Datos!S20,(Datos!I20+Datos!Y20-(Datos!S20+Datos!AG20))/(Datos!S20+Datos!AG20))," - ")</f>
        <v>-0.20381110190555096</v>
      </c>
      <c r="C20" s="799">
        <f>IF(ISNUMBER(
   IF(J_V="SI",(Datos!J20-Datos!T20)/Datos!T20,(Datos!J20+Datos!Z20-(Datos!T20+Datos!AH20))/(Datos!T20+Datos!AH20))
     ),IF(J_V="SI",(Datos!J20-Datos!T20)/Datos!T20,(Datos!J20+Datos!Z20-(Datos!T20+Datos!AH20))/(Datos!T20+Datos!AH20))," - ")</f>
        <v>-0.39285714285714285</v>
      </c>
      <c r="D20" s="799">
        <f>IF(ISNUMBER(
   IF(J_V="SI",(Datos!K20-Datos!U20)/Datos!U20,(Datos!K20+Datos!AA20-(Datos!U20+Datos!AI20))/(Datos!U20+Datos!AI20))
     ),IF(J_V="SI",(Datos!K20-Datos!U20)/Datos!U20,(Datos!K20+Datos!AA20-(Datos!U20+Datos!AI20))/(Datos!U20+Datos!AI20))," - ")</f>
        <v>-0.20328849028400597</v>
      </c>
      <c r="E20" s="799">
        <f>IF(ISNUMBER(
   IF(J_V="SI",(Datos!L20-Datos!V20)/Datos!V20,(Datos!L20+Datos!AB20-(Datos!V20+Datos!AJ20))/(Datos!V20+Datos!AJ20))
     ),IF(J_V="SI",(Datos!L20-Datos!V20)/Datos!V20,(Datos!L20+Datos!AB20-(Datos!V20+Datos!AJ20))/(Datos!V20+Datos!AJ20))," - ")</f>
        <v>-0.18613234906406539</v>
      </c>
      <c r="F20" s="800">
        <f>IF(ISNUMBER((Datos!M20-Datos!W20)/Datos!W20),(Datos!M20-Datos!W20)/Datos!W20," - ")</f>
        <v>0.18505338078291814</v>
      </c>
      <c r="G20" s="801">
        <f>IF(ISNUMBER((Datos!N20-Datos!X20)/Datos!X20),(Datos!N20-Datos!X20)/Datos!X20," - ")</f>
        <v>-0.36099585062240663</v>
      </c>
      <c r="H20" s="802">
        <f>IF(ISNUMBER((Tasas!B20-Datos!BD20)/Datos!BD20),(Tasas!B20-Datos!BD20)/Datos!BD20," - ")</f>
        <v>0.3122307218851666</v>
      </c>
      <c r="I20" s="803">
        <f>IF(ISNUMBER((Tasas!C20-Datos!BE20)/Datos!BE20),(Tasas!C20-Datos!BE20)/Datos!BE20," - ")</f>
        <v>2.1533693201013639E-2</v>
      </c>
      <c r="J20" s="804">
        <f>IF(ISNUMBER((Tasas!D20-Datos!BF20)/Datos!BF20),(Tasas!D20-Datos!BF20)/Datos!BF20," - ")</f>
        <v>-0.34487757826698118</v>
      </c>
      <c r="K20" s="804">
        <f>IF(ISNUMBER((Tasas!E20-Datos!BG20)/Datos!BG20),(Tasas!E20-Datos!BG20)/Datos!BG20," - ")</f>
        <v>-7.0551107884859368E-2</v>
      </c>
    </row>
    <row r="21" spans="1:12">
      <c r="A21" s="410"/>
      <c r="B21" s="410"/>
      <c r="C21" s="410"/>
      <c r="D21" s="410"/>
      <c r="E21" s="410"/>
    </row>
    <row r="22" spans="1:12" ht="70.5" customHeight="1">
      <c r="A22" s="1507" t="s">
        <v>153</v>
      </c>
      <c r="B22" s="1507"/>
      <c r="C22" s="1507"/>
      <c r="D22" s="1507"/>
      <c r="E22" s="1507"/>
      <c r="F22" s="1507"/>
      <c r="G22" s="1507"/>
      <c r="H22" s="1507"/>
      <c r="I22" s="1507"/>
      <c r="J22" s="1507"/>
      <c r="K22" s="1507"/>
    </row>
    <row r="23" spans="1:12">
      <c r="A23" s="1506"/>
      <c r="B23" s="1506"/>
      <c r="C23" s="412"/>
      <c r="D23" s="412"/>
      <c r="E23" s="412"/>
    </row>
    <row r="24" spans="1:12">
      <c r="A24" s="390" t="str">
        <f>Criterios!A4</f>
        <v>Fecha Informe: 18 jun. 2026</v>
      </c>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row r="30" spans="1:12" ht="12.75" customHeight="1">
      <c r="A30" s="453"/>
      <c r="B30" s="453"/>
      <c r="C30" s="453"/>
      <c r="D30" s="453"/>
      <c r="E30" s="453"/>
      <c r="F30" s="453"/>
      <c r="G30" s="453"/>
      <c r="H30" s="453"/>
      <c r="I30" s="453"/>
      <c r="J30" s="453"/>
      <c r="K30" s="453"/>
      <c r="L30" s="453"/>
    </row>
  </sheetData>
  <sheetProtection algorithmName="SHA-512" hashValue="I18p9Ry15CEZoXUbODIzZMUqJ2whHba19geGw5k8WUix6rPyaPQwj6Us1SmcSKeiuMgozJj8dTXqfb3yzSBZtg==" saltValue="QQ11HTsiDHaxPnmX25Cq+A==" spinCount="100000" sheet="1" objects="1" scenarios="1"/>
  <mergeCells count="13">
    <mergeCell ref="A23:B23"/>
    <mergeCell ref="A5:A6"/>
    <mergeCell ref="A22:K22"/>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9"/>
  <sheetViews>
    <sheetView topLeftCell="A6" zoomScale="85" zoomScaleNormal="85" workbookViewId="0">
      <selection activeCell="A28" sqref="A28"/>
    </sheetView>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ANDALUCIA</v>
      </c>
    </row>
    <row r="3" spans="1:7" ht="19.5">
      <c r="A3" s="435" t="s">
        <v>12</v>
      </c>
      <c r="B3" s="390" t="str">
        <f>Criterios!A10 &amp;"  "&amp;Criterios!B10</f>
        <v>Provincias  CADIZ</v>
      </c>
    </row>
    <row r="4" spans="1:7" ht="11.25" customHeight="1" thickBot="1">
      <c r="B4" s="390" t="str">
        <f>Criterios!A11 &amp;"  "&amp;Criterios!B11</f>
        <v>Resumenes por Partidos Judiciales  SAN ROQUE</v>
      </c>
    </row>
    <row r="5" spans="1:7" ht="12.75" customHeight="1">
      <c r="A5" s="1489" t="str">
        <f>"Año:  " &amp;Criterios!B5 &amp; "    Trimestre   " &amp;Criterios!D5 &amp; " al " &amp;Criterios!D6</f>
        <v>Año:  2026    Trimestre   1 al 1</v>
      </c>
      <c r="B5" s="1483" t="s">
        <v>95</v>
      </c>
      <c r="C5" s="1483" t="s">
        <v>96</v>
      </c>
      <c r="D5" s="1483" t="s">
        <v>97</v>
      </c>
      <c r="E5" s="1483" t="s">
        <v>98</v>
      </c>
      <c r="G5" s="462"/>
    </row>
    <row r="6" spans="1:7" ht="12.75" customHeight="1">
      <c r="A6" s="1490"/>
      <c r="B6" s="1522"/>
      <c r="C6" s="1522"/>
      <c r="D6" s="1522"/>
      <c r="E6" s="1522"/>
      <c r="G6" s="462"/>
    </row>
    <row r="7" spans="1:7" ht="30.75" customHeight="1" thickBot="1">
      <c r="A7" s="436" t="str">
        <f>Datos!A7</f>
        <v>COMPETENCIAS</v>
      </c>
      <c r="B7" s="1523"/>
      <c r="C7" s="1523"/>
      <c r="D7" s="1523"/>
      <c r="E7" s="1523"/>
      <c r="G7" s="462"/>
    </row>
    <row r="8" spans="1:7">
      <c r="A8" s="395" t="str">
        <f>Datos!A8</f>
        <v>Jurisdicción Civil ( 1 ):</v>
      </c>
      <c r="B8" s="437"/>
      <c r="C8" s="438"/>
      <c r="D8" s="439"/>
      <c r="E8" s="440"/>
      <c r="G8" s="462"/>
    </row>
    <row r="9" spans="1:7" ht="14.25" customHeight="1">
      <c r="A9" s="401" t="str">
        <f>Datos!A9</f>
        <v>Sección Civil del T.I</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Sección De Violencia sobre la Mujer del TI</v>
      </c>
      <c r="B10" s="441" t="str">
        <f>IF(ISNUMBER(NºAsuntos!G10/NºAsuntos!E10),NºAsuntos!G10/NºAsuntos!E10," - ")</f>
        <v xml:space="preserve"> - </v>
      </c>
      <c r="C10" s="442" t="str">
        <f>IF(ISNUMBER(NºAsuntos!I10/NºAsuntos!G10),NºAsuntos!I10/NºAsuntos!G10," - ")</f>
        <v xml:space="preserve"> - </v>
      </c>
      <c r="D10" s="443" t="str">
        <f>IF(ISNUMBER('Resol  Asuntos'!D10/NºAsuntos!G10),'Resol  Asuntos'!D10/NºAsuntos!G10," - ")</f>
        <v xml:space="preserve"> - </v>
      </c>
      <c r="E10" s="444" t="str">
        <f>IF(ISNUMBER((NºAsuntos!C10+NºAsuntos!E10)/NºAsuntos!G10),(NºAsuntos!C10+NºAsuntos!E10)/NºAsuntos!G10," - ")</f>
        <v xml:space="preserve"> - </v>
      </c>
      <c r="G10" s="462"/>
    </row>
    <row r="11" spans="1:7" ht="21">
      <c r="A11" s="401" t="str">
        <f>Datos!A11</f>
        <v xml:space="preserve">Sección de Familia, infancia e incapacidad del TI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13.5" thickBot="1">
      <c r="A12" s="401" t="str">
        <f>Datos!A12</f>
        <v xml:space="preserve">Sección Civil y de Inst. TI                      </v>
      </c>
      <c r="B12" s="441">
        <f>IF(ISNUMBER(NºAsuntos!G12/NºAsuntos!E12),NºAsuntos!G12/NºAsuntos!E12," - ")</f>
        <v>1.0292682926829269</v>
      </c>
      <c r="C12" s="442">
        <f>IF(ISNUMBER(NºAsuntos!I12/NºAsuntos!G12),NºAsuntos!I12/NºAsuntos!G12," - ")</f>
        <v>2.6271721958925749</v>
      </c>
      <c r="D12" s="443">
        <f>IF(ISNUMBER('Resol  Asuntos'!D12/NºAsuntos!G12),'Resol  Asuntos'!D12/NºAsuntos!G12," - ")</f>
        <v>0.38388625592417064</v>
      </c>
      <c r="E12" s="444">
        <f>IF(ISNUMBER((NºAsuntos!C12+NºAsuntos!E12)/NºAsuntos!G12),(NºAsuntos!C12+NºAsuntos!E12)/NºAsuntos!G12," - ")</f>
        <v>3.3206951026856242</v>
      </c>
      <c r="G12" s="462"/>
    </row>
    <row r="13" spans="1:7" ht="14.25" thickTop="1" thickBot="1">
      <c r="A13" s="845" t="str">
        <f>Datos!A13</f>
        <v>TOTAL</v>
      </c>
      <c r="B13" s="855">
        <f>IF(ISNUMBER(NºAsuntos!G13/NºAsuntos!E13),NºAsuntos!G13/NºAsuntos!E13," - ")</f>
        <v>1.0292682926829269</v>
      </c>
      <c r="C13" s="856">
        <f>IF(ISNUMBER(NºAsuntos!I13/NºAsuntos!G13),NºAsuntos!I13/NºAsuntos!G13," - ")</f>
        <v>2.6271721958925749</v>
      </c>
      <c r="D13" s="857">
        <f>IF(ISNUMBER('Resol  Asuntos'!D13/NºAsuntos!G13),'Resol  Asuntos'!D13/NºAsuntos!G13," - ")</f>
        <v>0.38388625592417064</v>
      </c>
      <c r="E13" s="858">
        <f>IF(ISNUMBER((NºAsuntos!C13+NºAsuntos!E13)/NºAsuntos!G13),(NºAsuntos!C13+NºAsuntos!E13)/NºAsuntos!G13," - ")</f>
        <v>3.3206951026856242</v>
      </c>
      <c r="G13" s="462"/>
    </row>
    <row r="14" spans="1:7" ht="13.5" thickTop="1">
      <c r="A14" s="395" t="str">
        <f>Datos!A14</f>
        <v xml:space="preserve">Jurisdicción Penal ( 2 ):                      </v>
      </c>
      <c r="B14" s="445"/>
      <c r="C14" s="446"/>
      <c r="D14" s="406"/>
      <c r="E14" s="447"/>
      <c r="G14" s="462"/>
    </row>
    <row r="15" spans="1:7">
      <c r="A15" s="401" t="str">
        <f>Datos!A15</f>
        <v xml:space="preserve">Seccion Instruccion Del T.I.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s="1455" customFormat="1" ht="21">
      <c r="A16" s="401" t="str">
        <f>Datos!A16</f>
        <v>Seccion Violencia contra la inf y adol.</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c r="A17" s="401" t="str">
        <f>Datos!A17</f>
        <v xml:space="preserve">Sección Civil y de Inst. TI                      </v>
      </c>
      <c r="B17" s="441">
        <f>IF(ISNUMBER(NºAsuntos!G17/NºAsuntos!E17),NºAsuntos!G17/NºAsuntos!E17," - ")</f>
        <v>1.4290429042904291</v>
      </c>
      <c r="C17" s="442">
        <f>IF(ISNUMBER(NºAsuntos!I17/NºAsuntos!G17),NºAsuntos!I17/NºAsuntos!G17," - ")</f>
        <v>3.2586605080831408</v>
      </c>
      <c r="D17" s="443">
        <f>IF(ISNUMBER('Resol  Asuntos'!D17/NºAsuntos!G17),'Resol  Asuntos'!D17/NºAsuntos!G17," - ")</f>
        <v>0.20785219399538107</v>
      </c>
      <c r="E17" s="444">
        <f>IF(ISNUMBER((NºAsuntos!C17+NºAsuntos!E17)/NºAsuntos!G17),(NºAsuntos!C17+NºAsuntos!E17)/NºAsuntos!G17," - ")</f>
        <v>3.8937644341801385</v>
      </c>
      <c r="G17" s="462"/>
    </row>
    <row r="18" spans="1:7" ht="21.75" thickBot="1">
      <c r="A18" s="401" t="str">
        <f>Datos!A18</f>
        <v>Sección De Violencia sobre la Mujer del TI</v>
      </c>
      <c r="B18" s="441" t="str">
        <f>IF(ISNUMBER(NºAsuntos!G18/NºAsuntos!E18),NºAsuntos!G18/NºAsuntos!E18," - ")</f>
        <v xml:space="preserve"> - </v>
      </c>
      <c r="C18" s="442" t="str">
        <f>IF(ISNUMBER(NºAsuntos!I18/NºAsuntos!G18),NºAsuntos!I18/NºAsuntos!G18," - ")</f>
        <v xml:space="preserve"> - </v>
      </c>
      <c r="D18" s="443" t="str">
        <f>IF(ISNUMBER('Resol  Asuntos'!D18/NºAsuntos!G18),'Resol  Asuntos'!D18/NºAsuntos!G18," - ")</f>
        <v xml:space="preserve"> - </v>
      </c>
      <c r="E18" s="444" t="str">
        <f>IF(ISNUMBER((NºAsuntos!C18+NºAsuntos!E18)/NºAsuntos!G18),(NºAsuntos!C18+NºAsuntos!E18)/NºAsuntos!G18," - ")</f>
        <v xml:space="preserve"> - </v>
      </c>
      <c r="G18" s="462"/>
    </row>
    <row r="19" spans="1:7" ht="14.25" thickTop="1" thickBot="1">
      <c r="A19" s="845" t="str">
        <f>Datos!A19</f>
        <v>TOTAL</v>
      </c>
      <c r="B19" s="855">
        <f>IF(ISNUMBER(NºAsuntos!G19/NºAsuntos!E19),NºAsuntos!G19/NºAsuntos!E19," - ")</f>
        <v>1.4290429042904291</v>
      </c>
      <c r="C19" s="856">
        <f>IF(ISNUMBER(NºAsuntos!I19/NºAsuntos!G19),NºAsuntos!I19/NºAsuntos!G19," - ")</f>
        <v>3.2886836027713624</v>
      </c>
      <c r="D19" s="859">
        <f>IF(ISNUMBER('Resol  Asuntos'!D19/NºAsuntos!G19),'Resol  Asuntos'!D19/NºAsuntos!G19," - ")</f>
        <v>0.20785219399538107</v>
      </c>
      <c r="E19" s="858">
        <f>IF(ISNUMBER((NºAsuntos!C19+NºAsuntos!E19)/NºAsuntos!G19),(NºAsuntos!C19+NºAsuntos!E19)/NºAsuntos!G19," - ")</f>
        <v>3.9237875288683601</v>
      </c>
      <c r="G19" s="462"/>
    </row>
    <row r="20" spans="1:7" ht="15.75" customHeight="1" thickTop="1" thickBot="1">
      <c r="A20" s="790" t="str">
        <f>Datos!A20</f>
        <v>TOTAL JURISDICCIONES</v>
      </c>
      <c r="B20" s="805">
        <f>IF(ISNUMBER(NºAsuntos!G20/NºAsuntos!E20),NºAsuntos!G20/NºAsuntos!E20," - ")</f>
        <v>1.1612200435729847</v>
      </c>
      <c r="C20" s="806">
        <f>IF(ISNUMBER(NºAsuntos!I20/NºAsuntos!G20),NºAsuntos!I20/NºAsuntos!G20," - ")</f>
        <v>2.895872420262664</v>
      </c>
      <c r="D20" s="807">
        <f>IF(ISNUMBER('Resol  Asuntos'!D20/NºAsuntos!G20),'Resol  Asuntos'!D20/NºAsuntos!G20," - ")</f>
        <v>0.31238273921200749</v>
      </c>
      <c r="E20" s="808">
        <f>IF(ISNUMBER((NºAsuntos!C20+NºAsuntos!E20)/NºAsuntos!G20),(NºAsuntos!C20+NºAsuntos!E20)/NºAsuntos!G20," - ")</f>
        <v>3.5656660412757972</v>
      </c>
      <c r="G20" s="462"/>
    </row>
    <row r="21" spans="1:7">
      <c r="A21" s="410"/>
      <c r="B21" s="410"/>
      <c r="C21" s="410"/>
      <c r="G21" s="462"/>
    </row>
    <row r="22" spans="1:7">
      <c r="A22" s="412"/>
      <c r="B22" s="412"/>
      <c r="C22" s="412"/>
      <c r="G22" s="462"/>
    </row>
    <row r="23" spans="1:7">
      <c r="A23" s="1476"/>
      <c r="B23" s="1476"/>
      <c r="C23" s="1476"/>
      <c r="G23" s="462"/>
    </row>
    <row r="24" spans="1:7">
      <c r="A24" s="390" t="str">
        <f>Criterios!A4</f>
        <v>Fecha Informe: 18 jun. 2026</v>
      </c>
    </row>
    <row r="26" spans="1:7" ht="12" customHeight="1">
      <c r="A26" s="464"/>
      <c r="B26" s="464"/>
      <c r="C26" s="464"/>
      <c r="D26" s="464"/>
      <c r="E26" s="464"/>
    </row>
    <row r="27" spans="1:7" ht="13.5" customHeight="1">
      <c r="A27" s="464"/>
      <c r="B27" s="465"/>
      <c r="C27" s="465"/>
      <c r="D27" s="465"/>
      <c r="E27" s="465"/>
    </row>
    <row r="28" spans="1:7" ht="13.5" customHeight="1">
      <c r="A28" s="464"/>
      <c r="B28" s="465"/>
      <c r="C28" s="465"/>
      <c r="D28" s="465"/>
      <c r="E28" s="465"/>
    </row>
    <row r="29" spans="1:7" ht="13.5" customHeight="1">
      <c r="A29" s="464"/>
      <c r="B29" s="465"/>
      <c r="C29" s="465"/>
      <c r="D29" s="465"/>
      <c r="E29" s="465"/>
    </row>
  </sheetData>
  <sheetProtection algorithmName="SHA-512" hashValue="jQ8NVlRyL4eGaW8ytwpCL3oKXbeBtVoXJGurNWk1YyvdtGx3QDsS35iHYrIPkbuIDC/e+Mstk2CAtf64fDbUaw==" saltValue="fpyVzVFxvCVs/uhs3EeNyg==" spinCount="100000" sheet="1" objects="1" scenarios="1"/>
  <mergeCells count="6">
    <mergeCell ref="D5:D7"/>
    <mergeCell ref="E5:E7"/>
    <mergeCell ref="A23:C23"/>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3"/>
  <sheetViews>
    <sheetView topLeftCell="C7" zoomScale="85" zoomScaleNormal="85" workbookViewId="0">
      <selection activeCell="C25" sqref="A25:XFD25"/>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ANDALUCIA</v>
      </c>
      <c r="G2" s="262"/>
      <c r="H2" s="261"/>
      <c r="I2" s="261"/>
      <c r="J2" s="261"/>
      <c r="K2" s="261"/>
      <c r="L2" s="261" t="str">
        <f>Criterios!A10 &amp;"  "&amp;Criterios!B10</f>
        <v>Provincias  CADIZ</v>
      </c>
      <c r="N2" s="261" t="str">
        <f>Criterios!A11 &amp;"  "&amp;Criterios!B11</f>
        <v>Resumenes por Partidos Judiciales  SAN ROQUE</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542" t="s">
        <v>352</v>
      </c>
      <c r="B5" s="271"/>
      <c r="C5" s="1545" t="str">
        <f>"Año:  " &amp;Criterios!B$5 &amp; "          Trimestre   " &amp;Criterios!D$5 &amp; " al " &amp;Criterios!D$6</f>
        <v>Año:  2026          Trimestre   1 al 1</v>
      </c>
      <c r="D5" s="1524" t="s">
        <v>377</v>
      </c>
      <c r="E5" s="1524" t="s">
        <v>319</v>
      </c>
      <c r="F5" s="1547" t="s">
        <v>407</v>
      </c>
      <c r="G5" s="1550" t="s">
        <v>130</v>
      </c>
      <c r="H5" s="1530" t="s">
        <v>161</v>
      </c>
      <c r="I5" s="1530" t="s">
        <v>165</v>
      </c>
      <c r="J5" s="1530" t="s">
        <v>166</v>
      </c>
      <c r="K5" s="1530" t="s">
        <v>408</v>
      </c>
      <c r="L5" s="1530" t="s">
        <v>579</v>
      </c>
      <c r="M5" s="1530" t="s">
        <v>323</v>
      </c>
      <c r="N5" s="1530" t="s">
        <v>378</v>
      </c>
      <c r="O5" s="1530" t="s">
        <v>410</v>
      </c>
      <c r="P5" s="1530" t="s">
        <v>164</v>
      </c>
      <c r="Q5" s="1530" t="s">
        <v>41</v>
      </c>
      <c r="R5" s="1556" t="s">
        <v>167</v>
      </c>
      <c r="S5" s="1559" t="s">
        <v>170</v>
      </c>
      <c r="T5" s="1577" t="s">
        <v>171</v>
      </c>
      <c r="U5" s="1574" t="s">
        <v>172</v>
      </c>
      <c r="V5" s="1568" t="s">
        <v>321</v>
      </c>
      <c r="W5" s="1533" t="s">
        <v>173</v>
      </c>
      <c r="X5" s="1536" t="s">
        <v>174</v>
      </c>
      <c r="Y5" s="1536" t="s">
        <v>175</v>
      </c>
      <c r="Z5" s="1571" t="s">
        <v>176</v>
      </c>
      <c r="AA5" s="1527" t="s">
        <v>177</v>
      </c>
      <c r="AB5" s="1530" t="s">
        <v>178</v>
      </c>
      <c r="AC5" s="1530" t="s">
        <v>179</v>
      </c>
      <c r="AD5" s="1539" t="s">
        <v>180</v>
      </c>
      <c r="AE5" s="1524" t="s">
        <v>183</v>
      </c>
      <c r="AF5" s="1562" t="s">
        <v>181</v>
      </c>
      <c r="AG5" s="1530" t="s">
        <v>182</v>
      </c>
      <c r="AH5" s="1556" t="s">
        <v>201</v>
      </c>
      <c r="AI5" s="1527" t="s">
        <v>184</v>
      </c>
      <c r="AJ5" s="1565" t="s">
        <v>248</v>
      </c>
      <c r="AK5" s="1553" t="s">
        <v>249</v>
      </c>
      <c r="AL5" s="1524" t="s">
        <v>250</v>
      </c>
      <c r="AM5" s="1524" t="s">
        <v>360</v>
      </c>
      <c r="AN5" s="1524" t="s">
        <v>251</v>
      </c>
      <c r="AO5" s="1524" t="s">
        <v>252</v>
      </c>
      <c r="AP5" s="1524" t="s">
        <v>302</v>
      </c>
      <c r="AQ5" s="1524" t="s">
        <v>185</v>
      </c>
      <c r="AR5" s="1524" t="s">
        <v>186</v>
      </c>
      <c r="AS5" s="1524" t="s">
        <v>389</v>
      </c>
      <c r="AT5" s="1524" t="s">
        <v>295</v>
      </c>
      <c r="AU5" s="1524" t="s">
        <v>296</v>
      </c>
      <c r="AV5" s="1524" t="s">
        <v>334</v>
      </c>
      <c r="AW5" s="1524" t="s">
        <v>795</v>
      </c>
      <c r="AX5" s="1524" t="s">
        <v>322</v>
      </c>
      <c r="AY5" s="1524" t="s">
        <v>739</v>
      </c>
      <c r="AZ5" s="1524" t="s">
        <v>740</v>
      </c>
      <c r="BF5" s="1582" t="s">
        <v>202</v>
      </c>
      <c r="BG5" s="1583"/>
      <c r="BH5" s="1582" t="s">
        <v>203</v>
      </c>
      <c r="BI5" s="1583"/>
      <c r="BJ5" s="1582" t="s">
        <v>204</v>
      </c>
      <c r="BK5" s="1583"/>
      <c r="BL5" s="1582" t="s">
        <v>205</v>
      </c>
      <c r="BM5" s="1583"/>
    </row>
    <row r="6" spans="1:65" ht="21.75" customHeight="1">
      <c r="A6" s="1543"/>
      <c r="B6" s="272"/>
      <c r="C6" s="1546"/>
      <c r="D6" s="1525"/>
      <c r="E6" s="1525"/>
      <c r="F6" s="1548"/>
      <c r="G6" s="1551"/>
      <c r="H6" s="1531"/>
      <c r="I6" s="1531"/>
      <c r="J6" s="1531"/>
      <c r="K6" s="1531"/>
      <c r="L6" s="1531"/>
      <c r="M6" s="1531"/>
      <c r="N6" s="1531"/>
      <c r="O6" s="1531"/>
      <c r="P6" s="1531"/>
      <c r="Q6" s="1531"/>
      <c r="R6" s="1557"/>
      <c r="S6" s="1560"/>
      <c r="T6" s="1578"/>
      <c r="U6" s="1575"/>
      <c r="V6" s="1569"/>
      <c r="W6" s="1534"/>
      <c r="X6" s="1537"/>
      <c r="Y6" s="1537"/>
      <c r="Z6" s="1572"/>
      <c r="AA6" s="1528"/>
      <c r="AB6" s="1531"/>
      <c r="AC6" s="1531"/>
      <c r="AD6" s="1540"/>
      <c r="AE6" s="1525"/>
      <c r="AF6" s="1563"/>
      <c r="AG6" s="1531"/>
      <c r="AH6" s="1557"/>
      <c r="AI6" s="1528"/>
      <c r="AJ6" s="1566"/>
      <c r="AK6" s="1554"/>
      <c r="AL6" s="1525"/>
      <c r="AM6" s="1525"/>
      <c r="AN6" s="1525"/>
      <c r="AO6" s="1525"/>
      <c r="AP6" s="1525"/>
      <c r="AQ6" s="1525"/>
      <c r="AR6" s="1525"/>
      <c r="AS6" s="1525"/>
      <c r="AT6" s="1525"/>
      <c r="AU6" s="1525"/>
      <c r="AV6" s="1525"/>
      <c r="AW6" s="1525"/>
      <c r="AX6" s="1525"/>
      <c r="AY6" s="1525"/>
      <c r="AZ6" s="1525"/>
      <c r="BF6" s="1580" t="s">
        <v>162</v>
      </c>
      <c r="BG6" s="1580" t="s">
        <v>163</v>
      </c>
      <c r="BH6" s="1580" t="s">
        <v>162</v>
      </c>
      <c r="BI6" s="1580" t="s">
        <v>163</v>
      </c>
      <c r="BJ6" s="1580" t="s">
        <v>162</v>
      </c>
      <c r="BK6" s="1580" t="s">
        <v>163</v>
      </c>
      <c r="BL6" s="1580" t="s">
        <v>162</v>
      </c>
      <c r="BM6" s="1580" t="s">
        <v>163</v>
      </c>
    </row>
    <row r="7" spans="1:65" ht="38.25" customHeight="1" thickBot="1">
      <c r="A7" s="1544"/>
      <c r="B7" s="273"/>
      <c r="C7" s="263" t="str">
        <f>Datos!A7</f>
        <v>COMPETENCIAS</v>
      </c>
      <c r="D7" s="1526"/>
      <c r="E7" s="1526"/>
      <c r="F7" s="1549"/>
      <c r="G7" s="1552"/>
      <c r="H7" s="1532"/>
      <c r="I7" s="1532"/>
      <c r="J7" s="1532"/>
      <c r="K7" s="1532"/>
      <c r="L7" s="1532"/>
      <c r="M7" s="1532"/>
      <c r="N7" s="1532"/>
      <c r="O7" s="1532"/>
      <c r="P7" s="1532"/>
      <c r="Q7" s="1532"/>
      <c r="R7" s="1558"/>
      <c r="S7" s="1561"/>
      <c r="T7" s="1579"/>
      <c r="U7" s="1576"/>
      <c r="V7" s="1570"/>
      <c r="W7" s="1535"/>
      <c r="X7" s="1538"/>
      <c r="Y7" s="1538"/>
      <c r="Z7" s="1573"/>
      <c r="AA7" s="1529"/>
      <c r="AB7" s="1532"/>
      <c r="AC7" s="1532"/>
      <c r="AD7" s="1541"/>
      <c r="AE7" s="1526"/>
      <c r="AF7" s="1564"/>
      <c r="AG7" s="1532"/>
      <c r="AH7" s="1558"/>
      <c r="AI7" s="1529"/>
      <c r="AJ7" s="1567"/>
      <c r="AK7" s="1555"/>
      <c r="AL7" s="1526"/>
      <c r="AM7" s="1526"/>
      <c r="AN7" s="1526"/>
      <c r="AO7" s="1526"/>
      <c r="AP7" s="1526"/>
      <c r="AQ7" s="1526"/>
      <c r="AR7" s="1526"/>
      <c r="AS7" s="1526"/>
      <c r="AT7" s="1526"/>
      <c r="AU7" s="1526"/>
      <c r="AV7" s="1526"/>
      <c r="AW7" s="1526"/>
      <c r="AX7" s="1526"/>
      <c r="AY7" s="1526"/>
      <c r="AZ7" s="1526"/>
      <c r="BF7" s="1581"/>
      <c r="BG7" s="1581"/>
      <c r="BH7" s="1581"/>
      <c r="BI7" s="1581"/>
      <c r="BJ7" s="1581"/>
      <c r="BK7" s="1581"/>
      <c r="BL7" s="1581"/>
      <c r="BM7" s="1581"/>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247</v>
      </c>
      <c r="C9" s="159" t="str">
        <f>Datos!A9</f>
        <v>Sección Civil del T.I</v>
      </c>
      <c r="D9" s="159"/>
      <c r="E9" s="1020">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86"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247</v>
      </c>
      <c r="C10" s="7" t="str">
        <f>Datos!A10</f>
        <v>Sección De Violencia sobre la Mujer del TI</v>
      </c>
      <c r="D10" s="7"/>
      <c r="E10" s="1020">
        <f>IF(ISNUMBER(Datos!AQ10),Datos!AQ10," - ")</f>
        <v>0</v>
      </c>
      <c r="F10" s="224">
        <f>IF(ISNUMBER(Datos!L10+Datos!K10-Datos!J10-K10),Datos!L10+Datos!K10-Datos!J10-K10," - ")</f>
        <v>0</v>
      </c>
      <c r="G10" s="332">
        <f>IF(ISNUMBER(Datos!I10),Datos!I10," - ")</f>
        <v>0</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0</v>
      </c>
      <c r="X10" s="225">
        <f>IF(ISNUMBER(Datos!Q10),Datos!Q10," - ")</f>
        <v>0</v>
      </c>
      <c r="Y10" s="333">
        <f t="shared" ref="Y10:Y12" si="0">SUM(W10:X10)</f>
        <v>0</v>
      </c>
      <c r="Z10" s="334" t="str">
        <f>IF(ISNUMBER(Datos!CC10),Datos!CC10," - ")</f>
        <v xml:space="preserve"> - </v>
      </c>
      <c r="AA10" s="331">
        <f>IF(ISNUMBER(Datos!L10),Datos!L10,"-")</f>
        <v>0</v>
      </c>
      <c r="AB10" s="333">
        <f>IF(ISNUMBER(Datos!R10),Datos!R10," - ")</f>
        <v>0</v>
      </c>
      <c r="AC10" s="333">
        <f t="shared" ref="AC10:AC12" si="1">IF(ISNUMBER(AA10+AB10),AA10+AB10," - ")</f>
        <v>0</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0</v>
      </c>
      <c r="AJ10" s="230" t="str">
        <f>IF(ISNUMBER(Datos!BW10),Datos!BW10," - ")</f>
        <v xml:space="preserve"> - </v>
      </c>
      <c r="AK10" s="231" t="str">
        <f>IF(ISNUMBER(Datos!BX10),Datos!BX10," - ")</f>
        <v xml:space="preserve"> - </v>
      </c>
      <c r="AL10" s="242" t="str">
        <f>IF(ISNUMBER(NºAsuntos!G10/NºAsuntos!E10),NºAsuntos!G10/NºAsuntos!E10," - ")</f>
        <v xml:space="preserve"> - </v>
      </c>
      <c r="AM10" s="259" t="str">
        <f>IF(ISNUMBER(((NºAsuntos!I10/NºAsuntos!G10)*11)/factor_trimestre),((NºAsuntos!I10/NºAsuntos!G10)*11)/factor_trimestre," - ")</f>
        <v xml:space="preserve"> - </v>
      </c>
      <c r="AN10" s="243" t="str">
        <f>IF(ISNUMBER('Resol  Asuntos'!D10/NºAsuntos!G10),'Resol  Asuntos'!D10/NºAsuntos!G10," - ")</f>
        <v xml:space="preserve"> - </v>
      </c>
      <c r="AO10" s="244" t="str">
        <f>IF(ISNUMBER((NºAsuntos!C10+NºAsuntos!E10)/NºAsuntos!G10),(NºAsuntos!C10+NºAsuntos!E10)/NºAsuntos!G10," - ")</f>
        <v xml:space="preserve"> - </v>
      </c>
      <c r="AP10" s="229" t="str">
        <f t="shared" ref="AP10:AP21"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86"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247</v>
      </c>
      <c r="C11" s="7" t="str">
        <f>Datos!A11</f>
        <v xml:space="preserve">Sección de Familia, infancia e incapacidad del TI                           </v>
      </c>
      <c r="D11" s="7"/>
      <c r="E11" s="1020">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86"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3</v>
      </c>
      <c r="B12" s="274" t="s">
        <v>247</v>
      </c>
      <c r="C12" s="7" t="str">
        <f>Datos!A12</f>
        <v xml:space="preserve">Sección Civil y de Inst. TI                      </v>
      </c>
      <c r="D12" s="7"/>
      <c r="E12" s="1020">
        <f>IF(ISNUMBER(Datos!AQ12),Datos!AQ12," - ")</f>
        <v>3</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230</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279</v>
      </c>
      <c r="Y12" s="333">
        <f t="shared" si="0"/>
        <v>279</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2852</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243</v>
      </c>
      <c r="AJ12" s="228" t="str">
        <f>IF(ISNUMBER(Datos!BW12),Datos!BW12," - ")</f>
        <v xml:space="preserve"> - </v>
      </c>
      <c r="AK12" s="227" t="str">
        <f>IF(ISNUMBER(Datos!BX12),Datos!BX12," - ")</f>
        <v xml:space="preserve"> - </v>
      </c>
      <c r="AL12" s="242">
        <f>IF(ISNUMBER(NºAsuntos!G12/NºAsuntos!E12),NºAsuntos!G12/NºAsuntos!E12," - ")</f>
        <v>1.0292682926829269</v>
      </c>
      <c r="AM12" s="259">
        <f>IF(ISNUMBER(((NºAsuntos!I12/NºAsuntos!G12)*11)/factor_trimestre),((NºAsuntos!I12/NºAsuntos!G12)*11)/factor_trimestre," - ")</f>
        <v>7.8815165876777247</v>
      </c>
      <c r="AN12" s="243">
        <f>IF(ISNUMBER('Resol  Asuntos'!D12/NºAsuntos!G12),'Resol  Asuntos'!D12/NºAsuntos!G12," - ")</f>
        <v>0.38388625592417064</v>
      </c>
      <c r="AO12" s="244">
        <f>IF(ISNUMBER((NºAsuntos!C12+NºAsuntos!E12)/NºAsuntos!G12),(NºAsuntos!C12+NºAsuntos!E12)/NºAsuntos!G12," - ")</f>
        <v>3.3206951026856242</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86"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0" t="str">
        <f>Datos!A13</f>
        <v>TOTAL</v>
      </c>
      <c r="D13" s="860"/>
      <c r="E13" s="1156">
        <f t="shared" ref="E13:O13" si="3">SUBTOTAL(9,E8:E12)</f>
        <v>3</v>
      </c>
      <c r="F13" s="862">
        <f t="shared" si="3"/>
        <v>0</v>
      </c>
      <c r="G13" s="863">
        <f t="shared" si="3"/>
        <v>0</v>
      </c>
      <c r="H13" s="862">
        <f t="shared" si="3"/>
        <v>0</v>
      </c>
      <c r="I13" s="864">
        <f t="shared" si="3"/>
        <v>0</v>
      </c>
      <c r="J13" s="864">
        <f t="shared" si="3"/>
        <v>0</v>
      </c>
      <c r="K13" s="864">
        <f t="shared" si="3"/>
        <v>0</v>
      </c>
      <c r="L13" s="864">
        <f t="shared" si="3"/>
        <v>230</v>
      </c>
      <c r="M13" s="864">
        <f t="shared" si="3"/>
        <v>0</v>
      </c>
      <c r="N13" s="864">
        <f t="shared" si="3"/>
        <v>0</v>
      </c>
      <c r="O13" s="865" t="e">
        <f t="shared" ca="1" si="3"/>
        <v>#VALUE!</v>
      </c>
      <c r="P13" s="865"/>
      <c r="Q13" s="866" t="str">
        <f>IF(ISNUMBER((N13*factor_trimestre)/((Datos!BT13+Datos!BU13)/2)),(N13*factor_trimestre)/((Datos!BT13+Datos!BU13)/2)," - ")</f>
        <v xml:space="preserve"> - </v>
      </c>
      <c r="R13" s="867">
        <f>SUBTOTAL(9,R8:R12)</f>
        <v>0</v>
      </c>
      <c r="S13" s="862">
        <f>SUBTOTAL(9,S8:S12)</f>
        <v>0</v>
      </c>
      <c r="T13" s="868" t="str">
        <f>IF(ISNUMBER((S13*factor_trimestre)/DatosB!BM13),(S13*factor_trimestre)/DatosB!BM13,"-")</f>
        <v>-</v>
      </c>
      <c r="U13" s="862" t="e">
        <f ca="1">SUBTOTAL(9,U8:U12)</f>
        <v>#VALUE!</v>
      </c>
      <c r="V13" s="868" t="str">
        <f ca="1">IF(ISNUMBER((U13*factor_trimestre)/DatosB!CN13),(U13*factor_trimestre)/DatosB!CN13,"-")</f>
        <v>-</v>
      </c>
      <c r="W13" s="864">
        <f t="shared" ref="W13:AJ13" si="4">SUBTOTAL(9,W8:W12)</f>
        <v>0</v>
      </c>
      <c r="X13" s="864">
        <f t="shared" si="4"/>
        <v>279</v>
      </c>
      <c r="Y13" s="865">
        <f t="shared" si="4"/>
        <v>279</v>
      </c>
      <c r="Z13" s="865">
        <f t="shared" si="4"/>
        <v>0</v>
      </c>
      <c r="AA13" s="865">
        <f t="shared" si="4"/>
        <v>0</v>
      </c>
      <c r="AB13" s="865">
        <f t="shared" si="4"/>
        <v>2852</v>
      </c>
      <c r="AC13" s="865">
        <f t="shared" si="4"/>
        <v>0</v>
      </c>
      <c r="AD13" s="865">
        <f t="shared" si="4"/>
        <v>0</v>
      </c>
      <c r="AE13" s="869">
        <f t="shared" si="4"/>
        <v>0</v>
      </c>
      <c r="AF13" s="862">
        <f t="shared" si="4"/>
        <v>0</v>
      </c>
      <c r="AG13" s="870">
        <f t="shared" si="4"/>
        <v>0</v>
      </c>
      <c r="AH13" s="867">
        <f t="shared" si="4"/>
        <v>0</v>
      </c>
      <c r="AI13" s="862">
        <f t="shared" si="4"/>
        <v>243</v>
      </c>
      <c r="AJ13" s="864">
        <f t="shared" si="4"/>
        <v>0</v>
      </c>
      <c r="AK13" s="867">
        <f>SUBTOTAL(9,AK9:AK12)</f>
        <v>0</v>
      </c>
      <c r="AL13" s="871">
        <f>IF(ISNUMBER(NºAsuntos!G13/NºAsuntos!E13),NºAsuntos!G13/NºAsuntos!E13," - ")</f>
        <v>1.0292682926829269</v>
      </c>
      <c r="AM13" s="871">
        <f>IF(ISNUMBER(((NºAsuntos!I13/NºAsuntos!G13)*11)/factor_trimestre),((NºAsuntos!I13/NºAsuntos!G13)*11)/factor_trimestre," - ")</f>
        <v>7.8815165876777247</v>
      </c>
      <c r="AN13" s="872">
        <f>IF(ISNUMBER('Resol  Asuntos'!D13/NºAsuntos!G13),'Resol  Asuntos'!D13/NºAsuntos!G13," - ")</f>
        <v>0.38388625592417064</v>
      </c>
      <c r="AO13" s="873">
        <f>IF(ISNUMBER((NºAsuntos!C13+NºAsuntos!E13)/NºAsuntos!G13),(NºAsuntos!C13+NºAsuntos!E13)/NºAsuntos!G13," - ")</f>
        <v>3.3206951026856242</v>
      </c>
      <c r="AP13" s="874" t="str">
        <f t="shared" si="2"/>
        <v xml:space="preserve"> - </v>
      </c>
      <c r="AQ13" s="874" t="str">
        <f>IF(ISNUMBER((H13-W13+K13)/(F13)),(H13-W13+K13)/(F13)," - ")</f>
        <v xml:space="preserve"> - </v>
      </c>
      <c r="AR13" s="875">
        <f>IF(ISNUMBER((Datos!P13-Datos!Q13)/(Datos!R13-Datos!P13+Datos!Q13)),(Datos!P13-Datos!Q13)/(Datos!R13-Datos!P13+Datos!Q13)," - ")</f>
        <v>-1.6890727335401586E-2</v>
      </c>
      <c r="AS13" s="861">
        <f>SUBTOTAL(9,AS8:AS12)</f>
        <v>0</v>
      </c>
      <c r="AT13" s="861">
        <f>SUBTOTAL(9,AT8:AT12)</f>
        <v>0</v>
      </c>
      <c r="AU13" s="861">
        <f>SUBTOTAL(9,AU8:AU12)</f>
        <v>0</v>
      </c>
      <c r="AV13" s="861">
        <f>SUBTOTAL(9,AV8:AV12)</f>
        <v>0</v>
      </c>
      <c r="AW13" s="861">
        <f>SUBTOTAL(9,AW8:AW12)</f>
        <v>0</v>
      </c>
      <c r="AX13" s="876"/>
      <c r="AY13" s="864">
        <f>SUBTOTAL(9,AY8:AY12)</f>
        <v>0</v>
      </c>
      <c r="AZ13" s="866"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87"/>
      <c r="BF14" s="151"/>
      <c r="BG14" s="151"/>
      <c r="BH14" s="151"/>
      <c r="BI14" s="151"/>
      <c r="BJ14" s="151"/>
      <c r="BK14" s="151"/>
      <c r="BL14" s="151"/>
      <c r="BM14" s="151"/>
    </row>
    <row r="15" spans="1:65" ht="14.25">
      <c r="A15" s="176">
        <f>Datos!AO15</f>
        <v>0</v>
      </c>
      <c r="B15" s="274" t="s">
        <v>397</v>
      </c>
      <c r="C15" s="159" t="str">
        <f>Datos!A15</f>
        <v xml:space="preserve">Seccion Instruccion Del T.I.                   </v>
      </c>
      <c r="D15" s="159"/>
      <c r="E15" s="1020">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8"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86"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s="1453" customFormat="1" ht="14.25">
      <c r="A16" s="176">
        <f>Datos!AO16</f>
        <v>0</v>
      </c>
      <c r="B16" s="274" t="s">
        <v>397</v>
      </c>
      <c r="C16" s="1200" t="str">
        <f>Datos!A16</f>
        <v>Seccion Violencia contra la inf y adol.</v>
      </c>
      <c r="D16" s="1200"/>
      <c r="E16" s="1420">
        <f>IF(ISNUMBER(Datos!AQ16),Datos!AQ16," - ")</f>
        <v>0</v>
      </c>
      <c r="F16" s="1214" t="str">
        <f>IF(ISNUMBER(AA16+W16-Datos!J16-K16),AA16+W16-Datos!J16-K16," - ")</f>
        <v xml:space="preserve"> - </v>
      </c>
      <c r="G16" s="1246" t="str">
        <f>IF(ISNUMBER(IF(D_I="SI",Datos!I16,Datos!I16+Datos!AC16)),IF(D_I="SI",Datos!I16,Datos!I16+Datos!AC16)," - ")</f>
        <v xml:space="preserve"> - </v>
      </c>
      <c r="H16" s="1214" t="str">
        <f>IF(ISNUMBER(Datos!DB16),Datos!DB16," - ")</f>
        <v xml:space="preserve"> - </v>
      </c>
      <c r="I16" s="1215" t="str">
        <f>IF(ISNUMBER(Datos!DC16),Datos!DC16," - ")</f>
        <v xml:space="preserve"> - </v>
      </c>
      <c r="J16" s="1215" t="str">
        <f>IF(ISNUMBER(Datos!DD16),Datos!DD16," - ")</f>
        <v xml:space="preserve"> - </v>
      </c>
      <c r="K16" s="1215">
        <f>IF(ISNUMBER(Datos!DF16),Datos!DF16,0)</f>
        <v>0</v>
      </c>
      <c r="L16" s="1215">
        <f>IF(ISNUMBER(Datos!P16),Datos!P16,0)</f>
        <v>0</v>
      </c>
      <c r="M16" s="1215" t="str">
        <f>IF(ISNUMBER(Datos!DE16),Datos!DE16," - ")</f>
        <v xml:space="preserve"> - </v>
      </c>
      <c r="N16" s="1215" t="str">
        <f>IF(ISNUMBER(H16),H16," - ")</f>
        <v xml:space="preserve"> - </v>
      </c>
      <c r="O16" s="1247"/>
      <c r="P16" s="1249" t="str">
        <f>IF(ISNUMBER((N16)/((BL16+BM16)/2)),(N16)/((BL16+BM16)/2)," - ")</f>
        <v xml:space="preserve"> - </v>
      </c>
      <c r="Q16" s="1249" t="str">
        <f>IF(ISNUMBER((N16)/((BL16+BM16)/2)),(N16)/((BL16+BM16)/2)," - ")</f>
        <v xml:space="preserve"> - </v>
      </c>
      <c r="R16" s="1216" t="str">
        <f>IF(ISNUMBER(Datos!CB16),Datos!CB16," - ")</f>
        <v xml:space="preserve"> - </v>
      </c>
      <c r="S16" s="1214">
        <f>IF(ISNUMBER(Datos!BY16+Datos!BZ16*1.16),Datos!BY16+Datos!BZ16*1.16," - ")</f>
        <v>0</v>
      </c>
      <c r="T16" s="1249">
        <f>IF(ISNUMBER((S16*factor_trimestre)/DatosB!CN16),(S16*factor_trimestre)/DatosB!CN16,"-")</f>
        <v>0</v>
      </c>
      <c r="U16" s="1236"/>
      <c r="V16" s="1249">
        <f>IF(ISNUMBER((U16*factor_trimestre)/DatosB!CN16),(U16*factor_trimestre)/DatosB!CN16,"-")</f>
        <v>0</v>
      </c>
      <c r="W16" s="1214" t="str">
        <f>IF(ISNUMBER(IF(D_I="SI",Datos!K16,Datos!K16+Datos!AE16)),IF(D_I="SI",Datos!K16,Datos!K16+Datos!AE16)," - ")</f>
        <v xml:space="preserve"> - </v>
      </c>
      <c r="X16" s="1215" t="str">
        <f>IF(ISNUMBER(Datos!Q16),Datos!Q16," - ")</f>
        <v xml:space="preserve"> - </v>
      </c>
      <c r="Y16" s="1247">
        <f>SUM(W16)</f>
        <v>0</v>
      </c>
      <c r="Z16" s="1248" t="str">
        <f>IF(ISNUMBER(Datos!CC16),Datos!CC16," - ")</f>
        <v xml:space="preserve"> - </v>
      </c>
      <c r="AA16" s="1245" t="str">
        <f>IF(ISNUMBER(IF(D_I="SI",Datos!L16,Datos!L16+Datos!AF16)),IF(D_I="SI",Datos!L16,Datos!L16+Datos!AF16)," - ")</f>
        <v xml:space="preserve"> - </v>
      </c>
      <c r="AB16" s="1247" t="str">
        <f>IF(ISNUMBER(Datos!R16),Datos!R16," - ")</f>
        <v xml:space="preserve"> - </v>
      </c>
      <c r="AC16" s="1247" t="str">
        <f t="shared" ref="AC16" si="7">IF(ISNUMBER(AA16+AB16),AA16+AB16," - ")</f>
        <v xml:space="preserve"> - </v>
      </c>
      <c r="AD16" s="1248" t="str">
        <f>IF(ISNUMBER(Datos!CD16),Datos!CD16," - ")</f>
        <v xml:space="preserve"> - </v>
      </c>
      <c r="AE16" s="1218" t="str">
        <f>IF(ISNUMBER(Datos!BV16),Datos!BV16," - ")</f>
        <v xml:space="preserve"> - </v>
      </c>
      <c r="AF16" s="1214" t="str">
        <f>IF(ISNUMBER(Datos!CK16),Datos!CK16," - ")</f>
        <v xml:space="preserve"> - </v>
      </c>
      <c r="AG16" s="1236" t="str">
        <f>IF(ISNUMBER(Datos!CL16),Datos!CL16," - ")</f>
        <v xml:space="preserve"> - </v>
      </c>
      <c r="AH16" s="1216" t="str">
        <f>IF(ISNUMBER(Datos!CM16),Datos!CM16," - ")</f>
        <v xml:space="preserve"> - </v>
      </c>
      <c r="AI16" s="1214" t="str">
        <f>IF(ISNUMBER(Datos!M16),Datos!M16," - ")</f>
        <v xml:space="preserve"> - </v>
      </c>
      <c r="AJ16" s="1220" t="str">
        <f>IF(ISNUMBER(Datos!BW16),Datos!BW16," - ")</f>
        <v xml:space="preserve"> - </v>
      </c>
      <c r="AK16" s="1221" t="str">
        <f>IF(ISNUMBER(Datos!BX16),Datos!BX16," - ")</f>
        <v xml:space="preserve"> - </v>
      </c>
      <c r="AL16" s="1223" t="str">
        <f>IF(ISNUMBER(NºAsuntos!G16/NºAsuntos!E16),NºAsuntos!G16/NºAsuntos!E16," - ")</f>
        <v xml:space="preserve"> - </v>
      </c>
      <c r="AM16" s="1226"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1219" t="str">
        <f t="shared" ref="AP16" si="8">IF(ISNUMBER(AT16/AU16),AT16/AU16," - ")</f>
        <v xml:space="preserve"> - </v>
      </c>
      <c r="AQ16" s="1219" t="str">
        <f>IF(ISNUMBER((I16-W16+K16)/(F16)),(I16-W16+K16)/(F16)," - ")</f>
        <v xml:space="preserve"> - </v>
      </c>
      <c r="AR16" s="1242" t="str">
        <f>IF(ISNUMBER((Datos!P16-Datos!Q16+M16)/(Datos!R16-Datos!P16+Datos!Q16-M16)),(Datos!P16-Datos!Q16+M16)/(Datos!R16-Datos!P16+Datos!Q16-M16)," - ")</f>
        <v xml:space="preserve"> - </v>
      </c>
      <c r="AS16" s="1229" t="str">
        <f>IF(ISNUMBER(Datos!CS16),Datos!CS16," - ")</f>
        <v xml:space="preserve"> - </v>
      </c>
      <c r="AT16" s="1229" t="str">
        <f>IF(ISNUMBER(Datos!CI16),Datos!CI16," - ")</f>
        <v xml:space="preserve"> - </v>
      </c>
      <c r="AU16" s="1229" t="str">
        <f>IF(ISNUMBER(Datos!CJ16),Datos!CJ16," - ")</f>
        <v xml:space="preserve"> - </v>
      </c>
      <c r="AV16" s="1229" t="str">
        <f>IF(ISNUMBER(Datos!CW16),Datos!CW16," - ")</f>
        <v xml:space="preserve"> - </v>
      </c>
      <c r="AW16" s="1229" t="str">
        <f>IF(ISNUMBER(Datos!EV16),Datos!EV16," - ")</f>
        <v xml:space="preserve"> - </v>
      </c>
      <c r="AX16" s="1229">
        <f>IF(ISNUMBER(Datos!CX16)," - ",Datos!CX16)</f>
        <v>0</v>
      </c>
      <c r="AY16" s="1229" t="str">
        <f>IF(ISNUMBER(Datos!ET16),Datos!ET16," - ")</f>
        <v xml:space="preserve"> - </v>
      </c>
      <c r="AZ16" s="1415"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4.25">
      <c r="A17" s="176">
        <f>Datos!AO17</f>
        <v>3</v>
      </c>
      <c r="B17" s="274" t="s">
        <v>397</v>
      </c>
      <c r="C17" s="159" t="str">
        <f>Datos!A17</f>
        <v xml:space="preserve">Sección Civil y de Inst. TI                      </v>
      </c>
      <c r="D17" s="159"/>
      <c r="E17" s="1020">
        <f>IF(ISNUMBER(Datos!AQ17),Datos!AQ17," - ")</f>
        <v>3</v>
      </c>
      <c r="F17" s="224">
        <f>IF(ISNUMBER(AA17+W17-Datos!J17-K17),AA17+W17-Datos!J17-K17," - ")</f>
        <v>1541</v>
      </c>
      <c r="G17" s="332">
        <f>IF(ISNUMBER(IF(D_I="SI",Datos!I17,Datos!I17+Datos!AC17)),IF(D_I="SI",Datos!I17,Datos!I17+Datos!AC17)," - ")</f>
        <v>1383</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7</v>
      </c>
      <c r="M17" s="225" t="str">
        <f>IF(ISNUMBER(Datos!DE17),Datos!DE17," - ")</f>
        <v xml:space="preserve"> - </v>
      </c>
      <c r="N17" s="225" t="str">
        <f>IF(ISNUMBER(H17),H17," - ")</f>
        <v xml:space="preserve"> - </v>
      </c>
      <c r="O17" s="311" t="e">
        <f ca="1">IF(ISNUMBER(INDIRECT("N"&amp;ROW()+salto-1)),N17+(INDIRECT("N"&amp;ROW()+salto-1))/9.15,N17/9.15+(INDIRECT("N"&amp;ROW()-salto+1)))</f>
        <v>#VALUE!</v>
      </c>
      <c r="P17" s="336" t="str">
        <f>IF(ISNUMBER((N17)/((BF17+BG17)/2)),(N17)/((BF17+BG17)/2),"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IF(ISNUMBER(Datos!BY17),Datos!BY17,"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433</v>
      </c>
      <c r="X17" s="225">
        <f>IF(ISNUMBER(Datos!Q17),Datos!Q17," - ")</f>
        <v>17</v>
      </c>
      <c r="Y17" s="333">
        <f t="shared" ref="Y17:Y18" si="9">SUM(W17:X17)</f>
        <v>450</v>
      </c>
      <c r="Z17" s="334" t="str">
        <f>IF(ISNUMBER(Datos!CC17),Datos!CC17," - ")</f>
        <v xml:space="preserve"> - </v>
      </c>
      <c r="AA17" s="331">
        <f>IF(ISNUMBER(IF(D_I="SI",Datos!L17,Datos!L17+Datos!AF17)),IF(D_I="SI",Datos!L17,Datos!L17+Datos!AF17)," - ")</f>
        <v>1411</v>
      </c>
      <c r="AB17" s="333">
        <f>IF(ISNUMBER(Datos!R17),Datos!R17," - ")</f>
        <v>51</v>
      </c>
      <c r="AC17" s="333">
        <f t="shared" si="6"/>
        <v>1462</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90</v>
      </c>
      <c r="AJ17" s="230" t="str">
        <f>IF(ISNUMBER(Datos!BW17),Datos!BW17," - ")</f>
        <v xml:space="preserve"> - </v>
      </c>
      <c r="AK17" s="231" t="str">
        <f>IF(ISNUMBER(Datos!BX17),Datos!BX17," - ")</f>
        <v xml:space="preserve"> - </v>
      </c>
      <c r="AL17" s="242">
        <f>IF(ISNUMBER(NºAsuntos!G17/NºAsuntos!E17),NºAsuntos!G17/NºAsuntos!E17," - ")</f>
        <v>1.4290429042904291</v>
      </c>
      <c r="AM17" s="259">
        <f>IF(ISNUMBER(((NºAsuntos!I17/NºAsuntos!G17)*11)/factor_trimestre),((NºAsuntos!I17/NºAsuntos!G17)*11)/factor_trimestre," - ")</f>
        <v>9.7759815242494223</v>
      </c>
      <c r="AN17" s="243">
        <f>IF(ISNUMBER('Resol  Asuntos'!D17/NºAsuntos!G17),'Resol  Asuntos'!D17/NºAsuntos!G17," - ")</f>
        <v>0.20785219399538107</v>
      </c>
      <c r="AO17" s="244">
        <f>IF(ISNUMBER((NºAsuntos!C17+NºAsuntos!E17)/NºAsuntos!G17),(NºAsuntos!C17+NºAsuntos!E17)/NºAsuntos!G17," - ")</f>
        <v>3.8937644341801385</v>
      </c>
      <c r="AP17" s="229" t="str">
        <f t="shared" si="2"/>
        <v xml:space="preserve"> - </v>
      </c>
      <c r="AQ17" s="229" t="str">
        <f>IF(ISNUMBER((I17-W17+K17)/(F17)),(I17-W17+K17)/(F17),"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IF(ISNUMBER(Datos!ET17),Datos!ET17," - ")</f>
        <v xml:space="preserve"> - </v>
      </c>
      <c r="AZ17" s="986"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 thickBot="1">
      <c r="A18" s="176">
        <f>Datos!AO18</f>
        <v>1</v>
      </c>
      <c r="B18" s="274" t="s">
        <v>397</v>
      </c>
      <c r="C18" s="7" t="str">
        <f>Datos!A18</f>
        <v>Sección De Violencia sobre la Mujer del TI</v>
      </c>
      <c r="D18" s="7"/>
      <c r="E18" s="1020">
        <f>IF(ISNUMBER(Datos!AQ18),Datos!AQ18," - ")</f>
        <v>0</v>
      </c>
      <c r="F18" s="224" t="str">
        <f>IF(ISNUMBER(AA18+W18-H18-K18),AA18+W18-H18-K18," - ")</f>
        <v xml:space="preserve"> - </v>
      </c>
      <c r="G18" s="332">
        <f>IF(ISNUMBER(IF(D_I="SI",Datos!I18,Datos!I18+Datos!AC18)),IF(D_I="SI",Datos!I18,Datos!I18+Datos!AC18)," - ")</f>
        <v>13</v>
      </c>
      <c r="H18" s="224" t="str">
        <f>IF(ISNUMBER(Datos!DB18),Datos!DB18," - ")</f>
        <v xml:space="preserve"> - </v>
      </c>
      <c r="I18" s="225" t="str">
        <f>IF(ISNUMBER(Datos!DC18),Datos!DC18," - ")</f>
        <v xml:space="preserve"> - </v>
      </c>
      <c r="J18" s="225" t="str">
        <f>IF(ISNUMBER(Datos!DD18),Datos!DD18," - ")</f>
        <v xml:space="preserve"> - </v>
      </c>
      <c r="K18" s="225">
        <f>IF(ISNUMBER(Datos!DF18),Datos!DF18,0)</f>
        <v>0</v>
      </c>
      <c r="L18" s="225">
        <f>IF(ISNUMBER(Datos!P18),Datos!P18,0)</f>
        <v>0</v>
      </c>
      <c r="M18" s="225" t="str">
        <f>IF(ISNUMBER(Datos!DE18),Datos!DE18," - ")</f>
        <v xml:space="preserve"> - </v>
      </c>
      <c r="N18" s="225" t="str">
        <f>IF(ISNUMBER(H18),H18," - ")</f>
        <v xml:space="preserve"> - </v>
      </c>
      <c r="O18" s="311" t="e">
        <f ca="1">IF(ISNUMBER(INDIRECT("N"&amp;ROW()+salto-1)),N18+(INDIRECT("N"&amp;ROW()+salto-1)),N18+(INDIRECT("N"&amp;ROW()-salto+1)))</f>
        <v>#VALUE!</v>
      </c>
      <c r="P18" s="336" t="str">
        <f t="shared" ref="P18" si="10">IF(ISNUMBER((N18)/((BL18+BM18)/2)),(N18)/((BL18+BM18)/2)," - ")</f>
        <v xml:space="preserve"> - </v>
      </c>
      <c r="Q18" s="336" t="str">
        <f>IF(jurisdiccion="Jurisdicción Civil y Penal",IF(ISNUMBER((O18)/((BL18+BM18)/2)),(O18)/((BL18+BM18)/2)," - "),IF(ISNUMBER((N18)/((BF18+BG18)/2)),(N18)/((BF18+BG18)/2)," - "))</f>
        <v xml:space="preserve"> - </v>
      </c>
      <c r="R18" s="226" t="str">
        <f>IF(ISNUMBER(Datos!CB18),Datos!CB18," - ")</f>
        <v xml:space="preserve"> - </v>
      </c>
      <c r="S18" s="224" t="str">
        <f>IF(ISNUMBER(Datos!BY18+Datos!BZ18),Datos!BY18+Datos!BZ18," - ")</f>
        <v xml:space="preserve"> - </v>
      </c>
      <c r="T18" s="336" t="str">
        <f>IF(ISNUMBER((S18*factor_trimestre)/DatosB!CN18),(S18*factor_trimestre)/DatosB!CN18,"-")</f>
        <v>-</v>
      </c>
      <c r="U18" s="140" t="e">
        <f ca="1">IF(ISNUMBER(INDIRECT("S"&amp;ROW()+salto-1)),S18+(INDIRECT("S"&amp;ROW()+salto-1)),S18+(INDIRECT("S"&amp;ROW()-salto+1)))</f>
        <v>#VALUE!</v>
      </c>
      <c r="V18" s="336" t="str">
        <f ca="1">IF(ISNUMBER((U18*factor_trimestre)/DatosB!CN18),(U18*factor_trimestre)/DatosB!CN18,"-")</f>
        <v>-</v>
      </c>
      <c r="W18" s="224">
        <f>IF(ISNUMBER(IF(D_I="SI",Datos!K18,Datos!K18+Datos!AE18)),IF(D_I="SI",Datos!K18,Datos!K18+Datos!AE18)," - ")</f>
        <v>0</v>
      </c>
      <c r="X18" s="225">
        <f>IF(ISNUMBER(Datos!Q18),Datos!Q18," - ")</f>
        <v>0</v>
      </c>
      <c r="Y18" s="333">
        <f t="shared" si="9"/>
        <v>0</v>
      </c>
      <c r="Z18" s="334" t="str">
        <f>IF(ISNUMBER(Datos!CC18),Datos!CC18," - ")</f>
        <v xml:space="preserve"> - </v>
      </c>
      <c r="AA18" s="331">
        <f>IF(ISNUMBER(Datos!L18),Datos!L18,"-")</f>
        <v>13</v>
      </c>
      <c r="AB18" s="333">
        <f>IF(ISNUMBER(Datos!R18),Datos!R18," - ")</f>
        <v>4</v>
      </c>
      <c r="AC18" s="333">
        <f t="shared" si="6"/>
        <v>17</v>
      </c>
      <c r="AD18" s="334" t="str">
        <f>IF(ISNUMBER(Datos!CD18),Datos!CD18," - ")</f>
        <v xml:space="preserve"> - </v>
      </c>
      <c r="AE18" s="228" t="str">
        <f>IF(ISNUMBER(Datos!BV18),Datos!BV18," - ")</f>
        <v xml:space="preserve"> - </v>
      </c>
      <c r="AF18" s="224" t="str">
        <f>IF(ISNUMBER(Datos!CK18),Datos!CK18," - ")</f>
        <v xml:space="preserve"> - </v>
      </c>
      <c r="AG18" s="297" t="str">
        <f>IF(ISNUMBER(Datos!CL18),Datos!CL18," - ")</f>
        <v xml:space="preserve"> - </v>
      </c>
      <c r="AH18" s="226" t="str">
        <f>IF(ISNUMBER(Datos!CM18),Datos!CM18," - ")</f>
        <v xml:space="preserve"> - </v>
      </c>
      <c r="AI18" s="224">
        <f>IF(ISNUMBER(Datos!M18),Datos!M18," - ")</f>
        <v>0</v>
      </c>
      <c r="AJ18" s="230" t="str">
        <f>IF(ISNUMBER(Datos!BW18),Datos!BW18," - ")</f>
        <v xml:space="preserve"> - </v>
      </c>
      <c r="AK18" s="231" t="str">
        <f>IF(ISNUMBER(Datos!BX18),Datos!BX18," - ")</f>
        <v xml:space="preserve"> - </v>
      </c>
      <c r="AL18" s="242" t="str">
        <f>IF(ISNUMBER(NºAsuntos!G18/NºAsuntos!E18),NºAsuntos!G18/NºAsuntos!E18," - ")</f>
        <v xml:space="preserve"> - </v>
      </c>
      <c r="AM18" s="259" t="str">
        <f>IF(ISNUMBER(((NºAsuntos!I18/NºAsuntos!G18)*11)/factor_trimestre),((NºAsuntos!I18/NºAsuntos!G18)*11)/factor_trimestre," - ")</f>
        <v xml:space="preserve"> - </v>
      </c>
      <c r="AN18" s="243" t="str">
        <f>IF(ISNUMBER('Resol  Asuntos'!D18/NºAsuntos!G18),'Resol  Asuntos'!D18/NºAsuntos!G18," - ")</f>
        <v xml:space="preserve"> - </v>
      </c>
      <c r="AO18" s="244" t="str">
        <f>IF(ISNUMBER((NºAsuntos!C18+NºAsuntos!E18)/NºAsuntos!G18),(NºAsuntos!C18+NºAsuntos!E18)/NºAsuntos!G18," - ")</f>
        <v xml:space="preserve"> - </v>
      </c>
      <c r="AP18" s="229" t="str">
        <f t="shared" si="2"/>
        <v xml:space="preserve"> - </v>
      </c>
      <c r="AQ18" s="229" t="str">
        <f t="shared" ref="AQ18" si="11">IF(ISNUMBER((H18-W18+K18)/(F18)),(H18-W18+K18)/(F18)," - ")</f>
        <v xml:space="preserve"> - </v>
      </c>
      <c r="AR18" s="303" t="str">
        <f>IF(ISNUMBER((Datos!P18-Datos!Q18+M18)/(Datos!R18-Datos!P18+Datos!Q18-M18)),(Datos!P18-Datos!Q18+M18)/(Datos!R18-Datos!P18+Datos!Q18-M18)," - ")</f>
        <v xml:space="preserve"> - </v>
      </c>
      <c r="AS18" s="265" t="str">
        <f>IF(ISNUMBER(Datos!CS18),Datos!CS18," - ")</f>
        <v xml:space="preserve"> - </v>
      </c>
      <c r="AT18" s="265" t="str">
        <f>IF(ISNUMBER(Datos!CI18),Datos!CI18," - ")</f>
        <v xml:space="preserve"> - </v>
      </c>
      <c r="AU18" s="265" t="str">
        <f>IF(ISNUMBER(Datos!CJ18),Datos!CJ18," - ")</f>
        <v xml:space="preserve"> - </v>
      </c>
      <c r="AV18" s="265" t="str">
        <f>IF(ISNUMBER(Datos!CW18),Datos!CW18," - ")</f>
        <v xml:space="preserve"> - </v>
      </c>
      <c r="AW18" s="265" t="str">
        <f>IF(ISNUMBER(Datos!EV18),Datos!EV18," - ")</f>
        <v xml:space="preserve"> - </v>
      </c>
      <c r="AX18" s="265">
        <f>IF(ISNUMBER(Datos!CX18)," - ",Datos!CX18)</f>
        <v>0</v>
      </c>
      <c r="AY18" s="265" t="str">
        <f>IF(ISNUMBER(Datos!EO18),Datos!EO18," - ")</f>
        <v xml:space="preserve"> - </v>
      </c>
      <c r="AZ18" s="986" t="e">
        <f>(AY18/Datos!ER18)*factor_trimestre</f>
        <v>#VALUE!</v>
      </c>
      <c r="BF18" s="153">
        <f>Datos!BN18/factor_trimestre</f>
        <v>0</v>
      </c>
      <c r="BG18" s="153">
        <f>Datos!BO18/factor_trimestre</f>
        <v>0</v>
      </c>
      <c r="BH18" s="153">
        <f>Datos!BP18/factor_trimestre</f>
        <v>0</v>
      </c>
      <c r="BI18" s="153">
        <f>Datos!BQ18/factor_trimestre</f>
        <v>0</v>
      </c>
      <c r="BJ18" s="153">
        <f>Datos!BR18/factor_trimestre</f>
        <v>0</v>
      </c>
      <c r="BK18" s="153">
        <f>Datos!BS18/factor_trimestre</f>
        <v>0</v>
      </c>
      <c r="BL18" s="153">
        <f>Datos!BT18/factor_trimestre</f>
        <v>0</v>
      </c>
      <c r="BM18" s="153">
        <f>Datos!BU18/factor_trimestre</f>
        <v>0</v>
      </c>
    </row>
    <row r="19" spans="1:65" ht="15.75" thickTop="1" thickBot="1">
      <c r="A19" s="177"/>
      <c r="B19" s="177"/>
      <c r="C19" s="860" t="str">
        <f>Datos!A19</f>
        <v>TOTAL</v>
      </c>
      <c r="D19" s="860"/>
      <c r="E19" s="1156">
        <f>SUBTOTAL(9,E14:E18)</f>
        <v>3</v>
      </c>
      <c r="F19" s="862">
        <f>SUBTOTAL(9,F14:F18)</f>
        <v>1541</v>
      </c>
      <c r="G19" s="863">
        <f>SUBTOTAL(9,G15:G18)</f>
        <v>1396</v>
      </c>
      <c r="H19" s="862">
        <f t="shared" ref="H19:O19" si="12">SUBTOTAL(9,H14:H18)</f>
        <v>0</v>
      </c>
      <c r="I19" s="864">
        <f t="shared" si="12"/>
        <v>0</v>
      </c>
      <c r="J19" s="864">
        <f t="shared" si="12"/>
        <v>0</v>
      </c>
      <c r="K19" s="864">
        <f t="shared" si="12"/>
        <v>0</v>
      </c>
      <c r="L19" s="864">
        <f t="shared" si="12"/>
        <v>7</v>
      </c>
      <c r="M19" s="864">
        <f t="shared" si="12"/>
        <v>0</v>
      </c>
      <c r="N19" s="864">
        <f t="shared" si="12"/>
        <v>0</v>
      </c>
      <c r="O19" s="865" t="e">
        <f t="shared" ca="1" si="12"/>
        <v>#VALUE!</v>
      </c>
      <c r="P19" s="865"/>
      <c r="Q19" s="866" t="str">
        <f>IF(ISNUMBER((N19*factor_trimestre)/((Datos!BT19+Datos!BU19)/2)),(N19*factor_trimestre)/((Datos!BT19+Datos!BU19)/2)," - ")</f>
        <v xml:space="preserve"> - </v>
      </c>
      <c r="R19" s="867">
        <f>SUBTOTAL(9,R14:R18)</f>
        <v>0</v>
      </c>
      <c r="S19" s="862">
        <f>SUBTOTAL(9,S14:S18)</f>
        <v>0</v>
      </c>
      <c r="T19" s="868">
        <f>IF(ISNUMBER((S19*factor_trimestre)/DatosB!BM19),(S19*factor_trimestre)/DatosB!BM19,"-")</f>
        <v>0</v>
      </c>
      <c r="U19" s="862" t="e">
        <f ca="1">SUBTOTAL(9,U14:U18)</f>
        <v>#VALUE!</v>
      </c>
      <c r="V19" s="868" t="str">
        <f ca="1">IF(ISNUMBER((U19*factor_trimestre)/DatosB!CN19),(U19*factor_trimestre)/DatosB!CN19,"-")</f>
        <v>-</v>
      </c>
      <c r="W19" s="864">
        <f t="shared" ref="W19:AK19" si="13">SUBTOTAL(9,W14:W18)</f>
        <v>433</v>
      </c>
      <c r="X19" s="864">
        <f t="shared" si="13"/>
        <v>17</v>
      </c>
      <c r="Y19" s="865">
        <f t="shared" si="13"/>
        <v>450</v>
      </c>
      <c r="Z19" s="865">
        <f t="shared" si="13"/>
        <v>0</v>
      </c>
      <c r="AA19" s="865">
        <f t="shared" si="13"/>
        <v>1424</v>
      </c>
      <c r="AB19" s="865">
        <f t="shared" si="13"/>
        <v>55</v>
      </c>
      <c r="AC19" s="865">
        <f t="shared" si="13"/>
        <v>1479</v>
      </c>
      <c r="AD19" s="865">
        <f t="shared" si="13"/>
        <v>0</v>
      </c>
      <c r="AE19" s="869">
        <f t="shared" si="13"/>
        <v>0</v>
      </c>
      <c r="AF19" s="862">
        <f t="shared" si="13"/>
        <v>0</v>
      </c>
      <c r="AG19" s="870">
        <f t="shared" si="13"/>
        <v>0</v>
      </c>
      <c r="AH19" s="867">
        <f t="shared" si="13"/>
        <v>0</v>
      </c>
      <c r="AI19" s="862">
        <f t="shared" si="13"/>
        <v>90</v>
      </c>
      <c r="AJ19" s="864">
        <f t="shared" si="13"/>
        <v>0</v>
      </c>
      <c r="AK19" s="867">
        <f t="shared" si="13"/>
        <v>0</v>
      </c>
      <c r="AL19" s="871">
        <f>IF(ISNUMBER(NºAsuntos!G19/NºAsuntos!E19),NºAsuntos!G19/NºAsuntos!E19," - ")</f>
        <v>1.4290429042904291</v>
      </c>
      <c r="AM19" s="871">
        <f>IF(ISNUMBER(((NºAsuntos!I19/NºAsuntos!G19)*11)/factor_trimestre),((NºAsuntos!I19/NºAsuntos!G19)*11)/factor_trimestre," - ")</f>
        <v>9.8660508083140872</v>
      </c>
      <c r="AN19" s="872">
        <f>IF(ISNUMBER('Resol  Asuntos'!D19/NºAsuntos!G19),'Resol  Asuntos'!D19/NºAsuntos!G19," - ")</f>
        <v>0.20785219399538107</v>
      </c>
      <c r="AO19" s="873">
        <f>IF(ISNUMBER((NºAsuntos!C19+NºAsuntos!E19)/NºAsuntos!G19),(NºAsuntos!C19+NºAsuntos!E19)/NºAsuntos!G19," - ")</f>
        <v>3.9237875288683601</v>
      </c>
      <c r="AP19" s="874" t="str">
        <f t="shared" si="2"/>
        <v xml:space="preserve"> - </v>
      </c>
      <c r="AQ19" s="874">
        <f>IF(ISNUMBER((H19-W19+K19)/(F19)),(H19-W19+K19)/(F19)," - ")</f>
        <v>-0.28098637248539909</v>
      </c>
      <c r="AR19" s="875">
        <f>IF(ISNUMBER((Datos!P19-Datos!Q19)/(Datos!R19-Datos!P19+Datos!Q19)),(Datos!P19-Datos!Q19)/(Datos!R19-Datos!P19+Datos!Q19)," - ")</f>
        <v>-0.15384615384615385</v>
      </c>
      <c r="AS19" s="861">
        <f>SUBTOTAL(9,AS14:AS18)</f>
        <v>0</v>
      </c>
      <c r="AT19" s="861">
        <f>SUBTOTAL(9,AT14:AT18)</f>
        <v>0</v>
      </c>
      <c r="AU19" s="861">
        <f>SUBTOTAL(9,AU14:AU18)</f>
        <v>0</v>
      </c>
      <c r="AV19" s="861">
        <f>SUBTOTAL(9,AV14:AV18)</f>
        <v>0</v>
      </c>
      <c r="AW19" s="861">
        <f>SUBTOTAL(9,AW14:AW18)</f>
        <v>0</v>
      </c>
      <c r="AX19" s="876"/>
      <c r="AY19" s="861">
        <f>SUBTOTAL(9,AY14:AY18)</f>
        <v>0</v>
      </c>
      <c r="AZ19" s="988" t="e">
        <f>SUBTOTAL(9,AZ14:AZ18)</f>
        <v>#VALUE!</v>
      </c>
      <c r="BF19" s="150">
        <f t="shared" ref="BF19:BM19" si="14">SUM(BF14:BF18)</f>
        <v>0</v>
      </c>
      <c r="BG19" s="150">
        <f t="shared" si="14"/>
        <v>0</v>
      </c>
      <c r="BH19" s="150">
        <f t="shared" si="14"/>
        <v>0</v>
      </c>
      <c r="BI19" s="150">
        <f t="shared" si="14"/>
        <v>0</v>
      </c>
      <c r="BJ19" s="150">
        <f t="shared" si="14"/>
        <v>0</v>
      </c>
      <c r="BK19" s="150">
        <f t="shared" si="14"/>
        <v>0</v>
      </c>
      <c r="BL19" s="150">
        <f t="shared" si="14"/>
        <v>0</v>
      </c>
      <c r="BM19" s="150">
        <f t="shared" si="14"/>
        <v>0</v>
      </c>
    </row>
    <row r="20" spans="1:65" ht="18.75" customHeight="1" thickTop="1" thickBot="1">
      <c r="A20" s="171"/>
      <c r="B20" s="171"/>
      <c r="C20" s="815" t="str">
        <f>Datos!A20</f>
        <v>TOTAL JURISDICCIONES</v>
      </c>
      <c r="D20" s="816"/>
      <c r="E20" s="1157">
        <f t="shared" ref="E20:O20" si="15">SUBTOTAL(9,E9:E19)</f>
        <v>6</v>
      </c>
      <c r="F20" s="817">
        <f t="shared" si="15"/>
        <v>1541</v>
      </c>
      <c r="G20" s="818">
        <f t="shared" si="15"/>
        <v>1396</v>
      </c>
      <c r="H20" s="817">
        <f t="shared" si="15"/>
        <v>0</v>
      </c>
      <c r="I20" s="819">
        <f t="shared" si="15"/>
        <v>0</v>
      </c>
      <c r="J20" s="819">
        <f t="shared" si="15"/>
        <v>0</v>
      </c>
      <c r="K20" s="878">
        <f t="shared" si="15"/>
        <v>0</v>
      </c>
      <c r="L20" s="819">
        <f t="shared" si="15"/>
        <v>237</v>
      </c>
      <c r="M20" s="819">
        <f t="shared" si="15"/>
        <v>0</v>
      </c>
      <c r="N20" s="819">
        <f t="shared" si="15"/>
        <v>0</v>
      </c>
      <c r="O20" s="819" t="e">
        <f t="shared" ca="1" si="15"/>
        <v>#VALUE!</v>
      </c>
      <c r="P20" s="878" t="str">
        <f>IF(ISNUMBER((N20*factor_trimestre)/((Datos!BT20+Datos!BU20)/2)),(N20*factor_trimestre)/((Datos!BT20+Datos!BU20)/2)," - ")</f>
        <v xml:space="preserve"> - </v>
      </c>
      <c r="Q20" s="879" t="str">
        <f>IF(ISNUMBER((N20*factor_trimestre)/((Datos!BT20+Datos!BU20)/2)),(N20*factor_trimestre)/((Datos!BT20+Datos!BU20)/2)," - ")</f>
        <v xml:space="preserve"> - </v>
      </c>
      <c r="R20" s="819">
        <f>SUBTOTAL(9,R9:R19)</f>
        <v>0</v>
      </c>
      <c r="S20" s="817">
        <f>SUBTOTAL(9,S9:S19)</f>
        <v>0</v>
      </c>
      <c r="T20" s="823" t="str">
        <f>IF(ISNUMBER((S20*factor_trimestre)/DatosB!CN20),(S20*factor_trimestre)/DatosB!CN20,"-")</f>
        <v>-</v>
      </c>
      <c r="U20" s="827" t="e">
        <f ca="1">SUBTOTAL(9,U9:U19)</f>
        <v>#VALUE!</v>
      </c>
      <c r="V20" s="880" t="str">
        <f ca="1">IF(ISNUMBER((U20*factor_trimestre)/DatosB!CN20),(U20*factor_trimestre)/DatosB!CN20,"-")</f>
        <v>-</v>
      </c>
      <c r="W20" s="818">
        <f t="shared" ref="W20:AK20" si="16">SUBTOTAL(9,W9:W19)</f>
        <v>433</v>
      </c>
      <c r="X20" s="818">
        <f t="shared" si="16"/>
        <v>296</v>
      </c>
      <c r="Y20" s="825">
        <f t="shared" si="16"/>
        <v>729</v>
      </c>
      <c r="Z20" s="825">
        <f t="shared" si="16"/>
        <v>0</v>
      </c>
      <c r="AA20" s="825">
        <f t="shared" si="16"/>
        <v>1424</v>
      </c>
      <c r="AB20" s="825">
        <f t="shared" si="16"/>
        <v>2907</v>
      </c>
      <c r="AC20" s="825">
        <f t="shared" si="16"/>
        <v>1479</v>
      </c>
      <c r="AD20" s="825">
        <f t="shared" si="16"/>
        <v>0</v>
      </c>
      <c r="AE20" s="827">
        <f t="shared" si="16"/>
        <v>0</v>
      </c>
      <c r="AF20" s="828">
        <f t="shared" si="16"/>
        <v>0</v>
      </c>
      <c r="AG20" s="829">
        <f t="shared" si="16"/>
        <v>0</v>
      </c>
      <c r="AH20" s="827">
        <f t="shared" si="16"/>
        <v>0</v>
      </c>
      <c r="AI20" s="817">
        <f t="shared" si="16"/>
        <v>333</v>
      </c>
      <c r="AJ20" s="817">
        <f t="shared" si="16"/>
        <v>0</v>
      </c>
      <c r="AK20" s="827">
        <f t="shared" si="16"/>
        <v>0</v>
      </c>
      <c r="AL20" s="881">
        <f>IF(ISNUMBER(NºAsuntos!G20/NºAsuntos!E20),NºAsuntos!G20/NºAsuntos!E20," - ")</f>
        <v>1.1612200435729847</v>
      </c>
      <c r="AM20" s="882">
        <f>IF(ISNUMBER(((NºAsuntos!I20/NºAsuntos!G20)*11)/factor_trimestre),((NºAsuntos!I20/NºAsuntos!G20)*11)/factor_trimestre," - ")</f>
        <v>8.6876172607879916</v>
      </c>
      <c r="AN20" s="882">
        <f>IF(ISNUMBER('Resol  Asuntos'!D20/NºAsuntos!G20),'Resol  Asuntos'!D20/NºAsuntos!G20," - ")</f>
        <v>0.31238273921200749</v>
      </c>
      <c r="AO20" s="883">
        <f>IF(ISNUMBER((NºAsuntos!C20+NºAsuntos!E20)/NºAsuntos!G20),(NºAsuntos!C20+NºAsuntos!E20)/NºAsuntos!G20," - ")</f>
        <v>3.5656660412757972</v>
      </c>
      <c r="AP20" s="884" t="str">
        <f t="shared" si="2"/>
        <v xml:space="preserve"> - </v>
      </c>
      <c r="AQ20" s="885">
        <f>IF(OR(ISNUMBER(FIND("01",Criterios!A8,1)),ISNUMBER(FIND("02",Criterios!A8,1)),ISNUMBER(FIND("03",Criterios!A8,1)),ISNUMBER(FIND("04",Criterios!A8,1))),(I20-W20+K20)/(F20-K20),(H20-W20+K20)/(F20-K20))</f>
        <v>-0.28098637248539909</v>
      </c>
      <c r="AR20" s="886">
        <f>IF(ISNUMBER((Datos!P20-Datos!Q20)/(Datos!R20-Datos!P20+Datos!Q20)),(Datos!P20-Datos!Q20)/(Datos!R20-Datos!P20+Datos!Q20)," - ")</f>
        <v>-1.9892110586648686E-2</v>
      </c>
      <c r="AS20" s="832">
        <f>SUBTOTAL(9,AS9:AS19)</f>
        <v>0</v>
      </c>
      <c r="AT20" s="877">
        <f>SUBTOTAL(9,AT9:AT19)</f>
        <v>0</v>
      </c>
      <c r="AU20" s="877">
        <f>SUBTOTAL(9,AU9:AU19)</f>
        <v>0</v>
      </c>
      <c r="AV20" s="877">
        <f>SUBTOTAL(9,AV9:AV19)</f>
        <v>0</v>
      </c>
      <c r="AW20" s="877">
        <f>SUBTOTAL(9,AW9:AW19)</f>
        <v>0</v>
      </c>
      <c r="AX20" s="833"/>
      <c r="AY20" s="877">
        <f>SUBTOTAL(9,AY9:AY19)</f>
        <v>0</v>
      </c>
      <c r="AZ20" s="989" t="e">
        <f>SUBTOTAL(9,AZ9:AZ19)</f>
        <v>#VALUE!</v>
      </c>
      <c r="BF20" s="152">
        <f t="shared" ref="BF20:BM20" si="17">SUM(BF9:BF19)</f>
        <v>0</v>
      </c>
      <c r="BG20" s="152">
        <f t="shared" si="17"/>
        <v>0</v>
      </c>
      <c r="BH20" s="152">
        <f t="shared" si="17"/>
        <v>0</v>
      </c>
      <c r="BI20" s="152">
        <f t="shared" si="17"/>
        <v>0</v>
      </c>
      <c r="BJ20" s="152">
        <f t="shared" si="17"/>
        <v>0</v>
      </c>
      <c r="BK20" s="152">
        <f t="shared" si="17"/>
        <v>0</v>
      </c>
      <c r="BL20" s="152">
        <f t="shared" si="17"/>
        <v>0</v>
      </c>
      <c r="BM20" s="152">
        <f t="shared" si="17"/>
        <v>0</v>
      </c>
    </row>
    <row r="21" spans="1:65" ht="18.75" customHeight="1" thickTop="1" thickBot="1">
      <c r="A21" s="166"/>
      <c r="B21" s="166"/>
      <c r="C21" s="835" t="s">
        <v>265</v>
      </c>
      <c r="D21" s="836"/>
      <c r="E21" s="1158">
        <f ca="1">IF(ISNUMBER(SUMIF($B8:$B19,$B21,E8:E19)/INDIRECT("Datos!AP"&amp;ROW()-1)),SUMIF($B8:$B19,$B21,E8:E19)/INDIRECT("Datos!AP"&amp;ROW()-1),"-")</f>
        <v>0</v>
      </c>
      <c r="F21" s="810">
        <f ca="1">IF(ISNUMBER(SUMIF($B8:$B19,$B21,F8:F19)/INDIRECT("Datos!AP"&amp;ROW()-1)),SUMIF($B8:$B19,$B21,F8:F19)/INDIRECT("Datos!AP"&amp;ROW()-1),"-")</f>
        <v>0</v>
      </c>
      <c r="G21" s="811">
        <f>IF(ISNUMBER(AVERAGE(G8:G19)),AVERAGE(G8:G19),"-")</f>
        <v>558.4</v>
      </c>
      <c r="H21" s="810">
        <f t="shared" ref="H21:AO21" ca="1" si="18">IF(ISNUMBER(SUMIF($B8:$B19,$B21,H8:H19)/INDIRECT("Datos!AP"&amp;ROW()-1)),SUMIF($B8:$B19,$B21,H8:H19)/INDIRECT("Datos!AP"&amp;ROW()-1),"-")</f>
        <v>0</v>
      </c>
      <c r="I21" s="812">
        <f t="shared" ca="1" si="18"/>
        <v>0</v>
      </c>
      <c r="J21" s="812">
        <f t="shared" ca="1" si="18"/>
        <v>0</v>
      </c>
      <c r="K21" s="812">
        <f t="shared" ca="1" si="18"/>
        <v>0</v>
      </c>
      <c r="L21" s="812">
        <f t="shared" ca="1" si="18"/>
        <v>0</v>
      </c>
      <c r="M21" s="812">
        <f t="shared" ca="1" si="18"/>
        <v>0</v>
      </c>
      <c r="N21" s="812">
        <f t="shared" ca="1" si="18"/>
        <v>0</v>
      </c>
      <c r="O21" s="812">
        <f t="shared" ca="1" si="18"/>
        <v>0</v>
      </c>
      <c r="P21" s="821">
        <f t="shared" ca="1" si="18"/>
        <v>0</v>
      </c>
      <c r="Q21" s="821">
        <f t="shared" ca="1" si="18"/>
        <v>0</v>
      </c>
      <c r="R21" s="812">
        <f t="shared" ca="1" si="18"/>
        <v>0</v>
      </c>
      <c r="S21" s="810">
        <f t="shared" ca="1" si="18"/>
        <v>0</v>
      </c>
      <c r="T21" s="888">
        <f t="shared" ca="1" si="18"/>
        <v>0</v>
      </c>
      <c r="U21" s="812">
        <f t="shared" ca="1" si="18"/>
        <v>0</v>
      </c>
      <c r="V21" s="888">
        <f t="shared" ca="1" si="18"/>
        <v>0</v>
      </c>
      <c r="W21" s="811">
        <f t="shared" ca="1" si="18"/>
        <v>0</v>
      </c>
      <c r="X21" s="811">
        <f t="shared" ca="1" si="18"/>
        <v>0</v>
      </c>
      <c r="Y21" s="889">
        <f t="shared" ca="1" si="18"/>
        <v>0</v>
      </c>
      <c r="Z21" s="889">
        <f t="shared" ca="1" si="18"/>
        <v>0</v>
      </c>
      <c r="AA21" s="889">
        <f t="shared" ca="1" si="18"/>
        <v>0</v>
      </c>
      <c r="AB21" s="889">
        <f t="shared" ca="1" si="18"/>
        <v>0</v>
      </c>
      <c r="AC21" s="889">
        <f t="shared" ca="1" si="18"/>
        <v>0</v>
      </c>
      <c r="AD21" s="889">
        <f t="shared" ca="1" si="18"/>
        <v>0</v>
      </c>
      <c r="AE21" s="812">
        <f t="shared" ca="1" si="18"/>
        <v>0</v>
      </c>
      <c r="AF21" s="840">
        <f t="shared" ca="1" si="18"/>
        <v>0</v>
      </c>
      <c r="AG21" s="839">
        <f t="shared" ca="1" si="18"/>
        <v>0</v>
      </c>
      <c r="AH21" s="812">
        <f t="shared" ca="1" si="18"/>
        <v>0</v>
      </c>
      <c r="AI21" s="810">
        <f t="shared" ca="1" si="18"/>
        <v>0</v>
      </c>
      <c r="AJ21" s="810">
        <f t="shared" ca="1" si="18"/>
        <v>0</v>
      </c>
      <c r="AK21" s="812">
        <f t="shared" ca="1" si="18"/>
        <v>0</v>
      </c>
      <c r="AL21" s="810">
        <f t="shared" ca="1" si="18"/>
        <v>0</v>
      </c>
      <c r="AM21" s="811">
        <f t="shared" ca="1" si="18"/>
        <v>0</v>
      </c>
      <c r="AN21" s="811">
        <f t="shared" ca="1" si="18"/>
        <v>0</v>
      </c>
      <c r="AO21" s="812">
        <f t="shared" ca="1" si="18"/>
        <v>0</v>
      </c>
      <c r="AP21" s="890" t="str">
        <f t="shared" ca="1" si="2"/>
        <v xml:space="preserve"> - </v>
      </c>
      <c r="AQ21" s="885" t="e">
        <f ca="1">IF(OR(ISNUMBER(FIND("01",Criterios!A8,1)),ISNUMBER(FIND("02",Criterios!A8,1)),ISNUMBER(FIND("03",Criterios!A8,1)),ISNUMBER(FIND("04",Criterios!A8,1))),(I21-W21+K21)/(F21-K21),(H21-W21+K21)/(F21-K21))</f>
        <v>#DIV/0!</v>
      </c>
      <c r="AR21" s="891">
        <f t="shared" ref="AR21:AW21" ca="1" si="19">IF(ISNUMBER(SUMIF($B8:$B19,$B21,AR8:AR19)/INDIRECT("Datos!AP"&amp;ROW()-1)),SUMIF($B8:$B19,$B21,AR8:AR19)/INDIRECT("Datos!AP"&amp;ROW()-1),"-")</f>
        <v>0</v>
      </c>
      <c r="AS21" s="892">
        <f t="shared" ca="1" si="19"/>
        <v>0</v>
      </c>
      <c r="AT21" s="887">
        <f t="shared" ca="1" si="19"/>
        <v>0</v>
      </c>
      <c r="AU21" s="887">
        <f t="shared" ca="1" si="19"/>
        <v>0</v>
      </c>
      <c r="AV21" s="887">
        <f t="shared" ca="1" si="19"/>
        <v>0</v>
      </c>
      <c r="AW21" s="887">
        <f t="shared" ca="1" si="19"/>
        <v>0</v>
      </c>
      <c r="AX21" s="893"/>
      <c r="AY21" s="812">
        <f ca="1">IF(ISNUMBER(SUMIF($B8:$B19,$B21,AY8:AY19)/INDIRECT("Datos!AP"&amp;ROW()-1)),SUMIF($B8:$B19,$B21,AY8:AY19)/INDIRECT("Datos!AP"&amp;ROW()-1),"-")</f>
        <v>0</v>
      </c>
      <c r="AZ21" s="990">
        <f ca="1">IF(ISNUMBER(SUMIF($B8:$B19,$B21,AZ8:AZ19)/INDIRECT("Datos!AP"&amp;ROW()-1)),SUMIF($B8:$B19,$B21,AZ8:AZ19)/INDIRECT("Datos!AP"&amp;ROW()-1),"-")</f>
        <v>0</v>
      </c>
    </row>
    <row r="22" spans="1:65" ht="18.75" hidden="1" customHeight="1" thickTop="1" thickBot="1">
      <c r="A22" s="167"/>
      <c r="B22" s="167"/>
      <c r="C22" s="167" t="s">
        <v>266</v>
      </c>
      <c r="D22" s="340"/>
      <c r="E22" s="282">
        <f>IF(ISNUMBER(STDEV(E8:E19)),STDEV(E8:E19),"-")</f>
        <v>1.5491933384829668</v>
      </c>
      <c r="F22" s="251">
        <f>IF(ISNUMBER(STDEV(F8:F19)),STDEV(F8:F19),"-")</f>
        <v>889.69676482121338</v>
      </c>
      <c r="G22" s="252">
        <f>IF(ISNUMBER(STDEV(G8:G19)),STDEV(G8:G19),"-")</f>
        <v>758.71951339081829</v>
      </c>
      <c r="H22" s="251">
        <f>IF(ISNUMBER(STDEV(H8:H19)),STDEV(H8:H19),"-")</f>
        <v>0</v>
      </c>
      <c r="I22" s="253">
        <f>IF(ISNUMBER(STDEV(I8:I19)),STDEV(I8:I19),"-")</f>
        <v>0</v>
      </c>
      <c r="J22" s="252"/>
      <c r="K22" s="252"/>
      <c r="L22" s="252"/>
      <c r="M22" s="252"/>
      <c r="N22" s="252"/>
      <c r="O22" s="252"/>
      <c r="P22" s="252"/>
      <c r="Q22" s="252"/>
      <c r="R22" s="252"/>
      <c r="S22" s="251">
        <f>IF(ISNUMBER(STDEV(S8:S19)),STDEV(S8:S19),"-")</f>
        <v>0</v>
      </c>
      <c r="T22" s="312">
        <f>IF(ISNUMBER(STDEV(T8:T19)),STDEV(T8:T19),"-")</f>
        <v>0</v>
      </c>
      <c r="U22" s="253" t="str">
        <f ca="1">IF(ISNUMBER(STDEV(U8:U19)),STDEV(U8:U19),"-")</f>
        <v>-</v>
      </c>
      <c r="V22" s="281"/>
      <c r="W22" s="252">
        <f>IF(ISNUMBER(STDEV(W8:W19)),STDEV(W8:W19),"-")</f>
        <v>237.16386739973692</v>
      </c>
      <c r="X22" s="281"/>
      <c r="Y22" s="281"/>
      <c r="Z22" s="281"/>
      <c r="AA22" s="281"/>
      <c r="AB22" s="281"/>
      <c r="AC22" s="281"/>
      <c r="AD22" s="281"/>
      <c r="AE22" s="253">
        <f>IF(ISNUMBER(STDEV(AE8:AE19)),STDEV(AE8:AE19),"-")</f>
        <v>0</v>
      </c>
      <c r="AF22" s="254">
        <f>IF(ISNUMBER(STDEV(AF8:AF19)),STDEV(AF8:AF19),"-")</f>
        <v>0</v>
      </c>
      <c r="AG22" s="281">
        <f>IF(ISNUMBER(STDEV(AG8:AG19)),STDEV(AG8:AG19),"-")</f>
        <v>0</v>
      </c>
      <c r="AH22" s="296"/>
      <c r="AI22" s="251">
        <f t="shared" ref="AI22:AQ22" si="20">IF(ISNUMBER(STDEV(AI8:AI19)),STDEV(AI8:AI19),"-")</f>
        <v>109.88357475073333</v>
      </c>
      <c r="AJ22" s="251">
        <f t="shared" si="20"/>
        <v>0</v>
      </c>
      <c r="AK22" s="253">
        <f t="shared" si="20"/>
        <v>0</v>
      </c>
      <c r="AL22" s="248">
        <f t="shared" si="20"/>
        <v>0.23080997962677005</v>
      </c>
      <c r="AM22" s="249">
        <f t="shared" si="20"/>
        <v>1.1203741716306517</v>
      </c>
      <c r="AN22" s="249">
        <f t="shared" si="20"/>
        <v>0.10163331304113005</v>
      </c>
      <c r="AO22" s="250">
        <f t="shared" si="20"/>
        <v>0.33974981636636625</v>
      </c>
      <c r="AP22" s="290" t="str">
        <f t="shared" si="20"/>
        <v>-</v>
      </c>
      <c r="AQ22" s="291" t="str">
        <f t="shared" si="20"/>
        <v>-</v>
      </c>
      <c r="AR22" s="305"/>
      <c r="AS22" s="309">
        <f t="shared" ref="AS22:AX22" si="21">IF(ISNUMBER(STDEV(AS8:AS19)),STDEV(AS8:AS19),"-")</f>
        <v>0</v>
      </c>
      <c r="AT22" s="282">
        <f t="shared" si="21"/>
        <v>0</v>
      </c>
      <c r="AU22" s="282">
        <f t="shared" si="21"/>
        <v>0</v>
      </c>
      <c r="AV22" s="282">
        <f t="shared" si="21"/>
        <v>0</v>
      </c>
      <c r="AW22" s="282">
        <f t="shared" si="21"/>
        <v>0</v>
      </c>
      <c r="AX22" s="300">
        <f t="shared" si="21"/>
        <v>0</v>
      </c>
      <c r="AY22" s="300"/>
      <c r="AZ22" s="991"/>
    </row>
    <row r="23" spans="1:65" ht="12" customHeight="1" thickTop="1">
      <c r="C23" s="73"/>
      <c r="D23" s="73"/>
      <c r="T23" s="313"/>
      <c r="AQ23" t="s">
        <v>425</v>
      </c>
      <c r="AR23" s="306"/>
      <c r="AS23" s="310"/>
      <c r="AX23" s="95"/>
      <c r="AY23" s="95"/>
      <c r="AZ23" s="619"/>
    </row>
    <row r="24" spans="1:65">
      <c r="C24" s="159"/>
      <c r="D24" s="341"/>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c r="C25" s="7"/>
      <c r="D25" s="342"/>
      <c r="E25" s="140"/>
      <c r="F25" s="142"/>
      <c r="G25" s="144"/>
      <c r="H25" s="143"/>
      <c r="I25" s="143"/>
      <c r="J25" s="140"/>
      <c r="K25" s="140"/>
      <c r="L25" s="140"/>
      <c r="M25" s="140"/>
      <c r="N25" s="140"/>
      <c r="O25" s="140"/>
      <c r="P25" s="140"/>
      <c r="Q25" s="140"/>
      <c r="R25" s="140"/>
      <c r="S25" s="140"/>
      <c r="T25" s="314"/>
      <c r="U25" s="140"/>
      <c r="V25" s="140"/>
      <c r="W25" s="143"/>
      <c r="X25" s="256"/>
      <c r="Y25" s="256"/>
      <c r="Z25" s="256"/>
      <c r="AA25" s="256"/>
      <c r="AB25" s="256"/>
      <c r="AC25" s="256"/>
      <c r="AD25" s="256"/>
      <c r="AE25" s="143"/>
      <c r="AF25" s="143"/>
      <c r="AG25" s="143"/>
      <c r="AH25" s="143"/>
      <c r="AI25" s="143"/>
      <c r="AJ25" s="143"/>
      <c r="AK25" s="143"/>
      <c r="AL25" s="143"/>
      <c r="AM25" s="140"/>
      <c r="AN25" s="140"/>
      <c r="AO25" s="140"/>
      <c r="AP25" s="164"/>
      <c r="AQ25" s="164"/>
      <c r="AR25" s="307"/>
      <c r="AS25" s="311"/>
      <c r="AT25" s="140"/>
      <c r="AU25" s="140"/>
      <c r="AV25" s="140"/>
      <c r="AW25" s="140"/>
      <c r="AX25" s="301"/>
      <c r="AY25" s="301"/>
      <c r="AZ25" s="294"/>
    </row>
    <row r="26" spans="1:65" ht="12.75" hidden="1" customHeight="1">
      <c r="C26" s="293" t="s">
        <v>263</v>
      </c>
      <c r="D26" s="342"/>
      <c r="E26" s="144">
        <f>E24+2*E25</f>
        <v>0</v>
      </c>
      <c r="F26" s="144">
        <f>F24+2*F25</f>
        <v>0</v>
      </c>
      <c r="G26" s="142">
        <f>G24+2*G25</f>
        <v>0</v>
      </c>
      <c r="H26" s="141">
        <f>H24+2*H25</f>
        <v>0</v>
      </c>
      <c r="I26" s="141">
        <f>I24+2*I25</f>
        <v>0</v>
      </c>
      <c r="J26" s="141">
        <f t="shared" ref="J26:U26" si="22">J24+2*J25</f>
        <v>0</v>
      </c>
      <c r="K26" s="141">
        <f>K24+2*K25</f>
        <v>0</v>
      </c>
      <c r="L26" s="141">
        <f t="shared" si="22"/>
        <v>0</v>
      </c>
      <c r="M26" s="141">
        <f t="shared" si="22"/>
        <v>0</v>
      </c>
      <c r="N26" s="141">
        <f t="shared" si="22"/>
        <v>0</v>
      </c>
      <c r="O26" s="141">
        <f>O24+2*O25</f>
        <v>0</v>
      </c>
      <c r="P26" s="141"/>
      <c r="Q26" s="315">
        <f t="shared" si="22"/>
        <v>0</v>
      </c>
      <c r="R26" s="141">
        <f t="shared" si="22"/>
        <v>0</v>
      </c>
      <c r="S26" s="142">
        <f t="shared" si="22"/>
        <v>0</v>
      </c>
      <c r="T26" s="330">
        <f t="shared" si="22"/>
        <v>0</v>
      </c>
      <c r="U26" s="142">
        <f t="shared" si="22"/>
        <v>0</v>
      </c>
      <c r="V26" s="142"/>
      <c r="W26" s="142">
        <f t="shared" ref="W26:AH26" si="23">W24+2*W25</f>
        <v>0</v>
      </c>
      <c r="X26" s="142">
        <f t="shared" si="23"/>
        <v>0</v>
      </c>
      <c r="Y26" s="142">
        <f t="shared" si="23"/>
        <v>0</v>
      </c>
      <c r="Z26" s="142">
        <f t="shared" si="23"/>
        <v>0</v>
      </c>
      <c r="AA26" s="142">
        <f t="shared" si="23"/>
        <v>0</v>
      </c>
      <c r="AB26" s="142">
        <f t="shared" si="23"/>
        <v>0</v>
      </c>
      <c r="AC26" s="142">
        <f t="shared" si="23"/>
        <v>0</v>
      </c>
      <c r="AD26" s="142">
        <f t="shared" si="23"/>
        <v>0</v>
      </c>
      <c r="AE26" s="142">
        <f t="shared" si="23"/>
        <v>0</v>
      </c>
      <c r="AF26" s="142">
        <f t="shared" si="23"/>
        <v>0</v>
      </c>
      <c r="AG26" s="142">
        <f t="shared" si="23"/>
        <v>0</v>
      </c>
      <c r="AH26" s="142">
        <f t="shared" si="23"/>
        <v>0</v>
      </c>
      <c r="AI26" s="142">
        <f t="shared" ref="AI26:AS26" si="24">AI24+2*AI25</f>
        <v>0</v>
      </c>
      <c r="AJ26" s="142">
        <f t="shared" si="24"/>
        <v>0</v>
      </c>
      <c r="AK26" s="142">
        <f t="shared" si="24"/>
        <v>0</v>
      </c>
      <c r="AL26" s="255">
        <f t="shared" si="24"/>
        <v>0</v>
      </c>
      <c r="AM26" s="255">
        <f t="shared" si="24"/>
        <v>0</v>
      </c>
      <c r="AN26" s="255">
        <f t="shared" si="24"/>
        <v>0</v>
      </c>
      <c r="AO26" s="255">
        <f t="shared" si="24"/>
        <v>0</v>
      </c>
      <c r="AP26" s="142">
        <f t="shared" si="24"/>
        <v>0</v>
      </c>
      <c r="AQ26" s="142">
        <f t="shared" si="24"/>
        <v>0</v>
      </c>
      <c r="AR26" s="142">
        <f t="shared" si="24"/>
        <v>0</v>
      </c>
      <c r="AS26" s="142">
        <f t="shared" si="24"/>
        <v>0</v>
      </c>
      <c r="AT26" s="142">
        <f>AT24+2*AT25</f>
        <v>0</v>
      </c>
      <c r="AU26" s="142">
        <f>AU24+2*AU25</f>
        <v>0</v>
      </c>
      <c r="AV26" s="142">
        <f>AV24+2*AV25</f>
        <v>0</v>
      </c>
      <c r="AW26" s="142">
        <f>AW24+2*AW25</f>
        <v>0</v>
      </c>
      <c r="AX26" s="142">
        <f>AX24+2*AX25</f>
        <v>0</v>
      </c>
    </row>
    <row r="27" spans="1:65" ht="12.75" hidden="1" customHeight="1">
      <c r="C27" s="293" t="s">
        <v>264</v>
      </c>
      <c r="D27" s="342"/>
      <c r="E27" s="144">
        <f>MIN(0,E24-2*E25)</f>
        <v>0</v>
      </c>
      <c r="F27" s="144">
        <f>MIN(0,F24-2*F25)</f>
        <v>0</v>
      </c>
      <c r="G27" s="142">
        <f>MIN(0,G24-2*G25)</f>
        <v>0</v>
      </c>
      <c r="H27" s="142">
        <f>MIN(0,H24-2*H25)</f>
        <v>0</v>
      </c>
      <c r="I27" s="142">
        <f>MIN(0,I24-2*I25)</f>
        <v>0</v>
      </c>
      <c r="J27" s="142">
        <f t="shared" ref="J27:U27" si="25">MIN(0,J24-2*J25)</f>
        <v>0</v>
      </c>
      <c r="K27" s="142">
        <f>MIN(0,K24-2*K25)</f>
        <v>0</v>
      </c>
      <c r="L27" s="142">
        <f t="shared" si="25"/>
        <v>0</v>
      </c>
      <c r="M27" s="142">
        <f t="shared" si="25"/>
        <v>0</v>
      </c>
      <c r="N27" s="142">
        <f t="shared" si="25"/>
        <v>0</v>
      </c>
      <c r="O27" s="142">
        <f>MIN(0,O24-2*O25)</f>
        <v>0</v>
      </c>
      <c r="P27" s="142"/>
      <c r="Q27" s="157">
        <f t="shared" si="25"/>
        <v>0</v>
      </c>
      <c r="R27" s="142">
        <f t="shared" si="25"/>
        <v>0</v>
      </c>
      <c r="S27" s="142">
        <f t="shared" si="25"/>
        <v>0</v>
      </c>
      <c r="T27" s="330">
        <f t="shared" si="25"/>
        <v>0</v>
      </c>
      <c r="U27" s="142">
        <f t="shared" si="25"/>
        <v>0</v>
      </c>
      <c r="V27" s="142"/>
      <c r="W27" s="142">
        <f t="shared" ref="W27:AG27" si="26">MIN(0,W24-2*W25)</f>
        <v>0</v>
      </c>
      <c r="X27" s="142">
        <f t="shared" si="26"/>
        <v>0</v>
      </c>
      <c r="Y27" s="142">
        <f t="shared" si="26"/>
        <v>0</v>
      </c>
      <c r="Z27" s="142">
        <f t="shared" si="26"/>
        <v>0</v>
      </c>
      <c r="AA27" s="142">
        <f t="shared" si="26"/>
        <v>0</v>
      </c>
      <c r="AB27" s="142">
        <f t="shared" si="26"/>
        <v>0</v>
      </c>
      <c r="AC27" s="142">
        <f t="shared" si="26"/>
        <v>0</v>
      </c>
      <c r="AD27" s="142">
        <f t="shared" si="26"/>
        <v>0</v>
      </c>
      <c r="AE27" s="142">
        <f t="shared" si="26"/>
        <v>0</v>
      </c>
      <c r="AF27" s="142">
        <f t="shared" si="26"/>
        <v>0</v>
      </c>
      <c r="AG27" s="142">
        <f t="shared" si="26"/>
        <v>0</v>
      </c>
      <c r="AH27" s="142">
        <f>MIN(0,AH24-2*AH25)</f>
        <v>0</v>
      </c>
      <c r="AI27" s="142">
        <f t="shared" ref="AI27:AS27" si="27">MIN(0,AI24-2*AI25)</f>
        <v>0</v>
      </c>
      <c r="AJ27" s="142">
        <f t="shared" si="27"/>
        <v>0</v>
      </c>
      <c r="AK27" s="142">
        <f t="shared" si="27"/>
        <v>0</v>
      </c>
      <c r="AL27" s="255">
        <f t="shared" si="27"/>
        <v>0</v>
      </c>
      <c r="AM27" s="255">
        <f t="shared" si="27"/>
        <v>0</v>
      </c>
      <c r="AN27" s="255">
        <f t="shared" si="27"/>
        <v>0</v>
      </c>
      <c r="AO27" s="255">
        <f t="shared" si="27"/>
        <v>0</v>
      </c>
      <c r="AP27" s="142">
        <f t="shared" si="27"/>
        <v>0</v>
      </c>
      <c r="AQ27" s="142">
        <f t="shared" si="27"/>
        <v>0</v>
      </c>
      <c r="AR27" s="142">
        <f t="shared" si="27"/>
        <v>0</v>
      </c>
      <c r="AS27" s="142">
        <f t="shared" si="27"/>
        <v>0</v>
      </c>
      <c r="AT27" s="142">
        <f>MIN(0,AT24-2*AT25)</f>
        <v>0</v>
      </c>
      <c r="AU27" s="142">
        <f>MIN(0,AU24-2*AU25)</f>
        <v>0</v>
      </c>
      <c r="AV27" s="142">
        <f>MIN(0,AV24-2*AV25)</f>
        <v>0</v>
      </c>
      <c r="AW27" s="142">
        <f>MIN(0,AW24-2*AW25)</f>
        <v>0</v>
      </c>
      <c r="AX27" s="142">
        <f>MIN(0,AX24-2*AX25)</f>
        <v>0</v>
      </c>
    </row>
    <row r="28" spans="1:65">
      <c r="C28" s="71"/>
      <c r="D28" s="71"/>
    </row>
    <row r="31" spans="1:65">
      <c r="C31" s="120" t="str">
        <f>Criterios!A4</f>
        <v>Fecha Informe: 18 jun. 2026</v>
      </c>
      <c r="D31" s="120"/>
    </row>
    <row r="33" spans="3:4">
      <c r="C33" s="1"/>
      <c r="D33" s="1"/>
    </row>
  </sheetData>
  <sheetProtection algorithmName="SHA-512" hashValue="7k8g/Md5LLnldvjClj3CXmn/8rGeKVYeoyBBzZ8/XnNzrM5X979zGgcXTrwoDPVMqclFBZwcBU4ygLePsWht+w==" saltValue="77+8nirHiqJQvk8RH3jJW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8 E9:E12">
    <cfRule type="cellIs" dxfId="784" priority="249" stopIfTrue="1" operator="notBetween">
      <formula>$E$26</formula>
      <formula>$E$27</formula>
    </cfRule>
  </conditionalFormatting>
  <conditionalFormatting sqref="F15:F18 F9:F12">
    <cfRule type="cellIs" dxfId="783" priority="322" stopIfTrue="1" operator="notBetween">
      <formula>$F$26</formula>
      <formula>$F$27</formula>
    </cfRule>
  </conditionalFormatting>
  <conditionalFormatting sqref="F9:G9 F10:F12 F15:F18">
    <cfRule type="expression" dxfId="782" priority="303" stopIfTrue="1">
      <formula>IF(F9&lt;&gt;G9,TRUE,FALSE)</formula>
    </cfRule>
  </conditionalFormatting>
  <conditionalFormatting sqref="G10:G12 G15:G18">
    <cfRule type="cellIs" dxfId="781" priority="305" stopIfTrue="1" operator="between">
      <formula>$G$26</formula>
      <formula>$G$27</formula>
    </cfRule>
  </conditionalFormatting>
  <conditionalFormatting sqref="H11">
    <cfRule type="cellIs" dxfId="780" priority="72" stopIfTrue="1" operator="greaterThan">
      <formula>$BG$11</formula>
    </cfRule>
    <cfRule type="cellIs" dxfId="779" priority="73" stopIfTrue="1" operator="lessThan">
      <formula>$BF$11</formula>
    </cfRule>
  </conditionalFormatting>
  <conditionalFormatting sqref="H12">
    <cfRule type="cellIs" dxfId="778" priority="70" stopIfTrue="1" operator="greaterThan">
      <formula>$BG$12</formula>
    </cfRule>
    <cfRule type="cellIs" dxfId="777" priority="71" stopIfTrue="1" operator="lessThan">
      <formula>$BF$12</formula>
    </cfRule>
  </conditionalFormatting>
  <conditionalFormatting sqref="L15:L18 L9:L12">
    <cfRule type="cellIs" dxfId="776" priority="1343" stopIfTrue="1" operator="notBetween">
      <formula>$L$26</formula>
      <formula>$L$27</formula>
    </cfRule>
  </conditionalFormatting>
  <conditionalFormatting sqref="M15:M18 M9:M12">
    <cfRule type="cellIs" dxfId="775" priority="1344" stopIfTrue="1" operator="notBetween">
      <formula>$M$26</formula>
      <formula>$M$27</formula>
    </cfRule>
  </conditionalFormatting>
  <conditionalFormatting sqref="N9">
    <cfRule type="cellIs" dxfId="774" priority="1265" stopIfTrue="1" operator="greaterThan">
      <formula>$BM$9</formula>
    </cfRule>
    <cfRule type="cellIs" dxfId="773" priority="1266" stopIfTrue="1" operator="lessThan">
      <formula>$BL$9</formula>
    </cfRule>
  </conditionalFormatting>
  <conditionalFormatting sqref="N10">
    <cfRule type="cellIs" dxfId="772" priority="1269" stopIfTrue="1" operator="greaterThan">
      <formula>$BM$10</formula>
    </cfRule>
    <cfRule type="cellIs" dxfId="771" priority="1270" stopIfTrue="1" operator="lessThan">
      <formula>$BL$10</formula>
    </cfRule>
  </conditionalFormatting>
  <conditionalFormatting sqref="N11">
    <cfRule type="cellIs" dxfId="770" priority="1273" stopIfTrue="1" operator="greaterThan">
      <formula>$BM$11</formula>
    </cfRule>
    <cfRule type="cellIs" dxfId="769" priority="1274" stopIfTrue="1" operator="lessThan">
      <formula>$BL$11</formula>
    </cfRule>
  </conditionalFormatting>
  <conditionalFormatting sqref="N11:N12">
    <cfRule type="cellIs" dxfId="768" priority="111" stopIfTrue="1" operator="greaterThan">
      <formula>$BM$9</formula>
    </cfRule>
    <cfRule type="cellIs" dxfId="767" priority="112" stopIfTrue="1" operator="lessThan">
      <formula>$BL$9</formula>
    </cfRule>
  </conditionalFormatting>
  <conditionalFormatting sqref="N12">
    <cfRule type="cellIs" dxfId="766" priority="769" stopIfTrue="1" operator="greaterThan">
      <formula>$BG$12</formula>
    </cfRule>
    <cfRule type="cellIs" dxfId="765" priority="770" stopIfTrue="1" operator="lessThan">
      <formula>$BF$12</formula>
    </cfRule>
  </conditionalFormatting>
  <conditionalFormatting sqref="N15:N16">
    <cfRule type="cellIs" dxfId="764" priority="1289" stopIfTrue="1" operator="greaterThan">
      <formula>$BM$15</formula>
    </cfRule>
    <cfRule type="cellIs" dxfId="763" priority="1290" stopIfTrue="1" operator="lessThan">
      <formula>$BL$15</formula>
    </cfRule>
  </conditionalFormatting>
  <conditionalFormatting sqref="N17">
    <cfRule type="cellIs" dxfId="762" priority="785" stopIfTrue="1" operator="greaterThan">
      <formula>$BG$17</formula>
    </cfRule>
    <cfRule type="cellIs" dxfId="761" priority="786" stopIfTrue="1" operator="lessThan">
      <formula>$BF$17</formula>
    </cfRule>
  </conditionalFormatting>
  <conditionalFormatting sqref="N18">
    <cfRule type="cellIs" dxfId="760" priority="155" stopIfTrue="1" operator="greaterThan">
      <formula>$BM$18</formula>
    </cfRule>
    <cfRule type="cellIs" dxfId="759" priority="156" stopIfTrue="1" operator="lessThan">
      <formula>$BL$18</formula>
    </cfRule>
  </conditionalFormatting>
  <conditionalFormatting sqref="N18">
    <cfRule type="cellIs" dxfId="758" priority="127" stopIfTrue="1" operator="greaterThan">
      <formula>$BM$15</formula>
    </cfRule>
    <cfRule type="cellIs" dxfId="757" priority="128" stopIfTrue="1" operator="lessThan">
      <formula>$BL$15</formula>
    </cfRule>
  </conditionalFormatting>
  <conditionalFormatting sqref="O10">
    <cfRule type="expression" dxfId="756" priority="82" stopIfTrue="1">
      <formula>$O$12&lt;$BL$12</formula>
    </cfRule>
    <cfRule type="expression" dxfId="755" priority="83" stopIfTrue="1">
      <formula>$O$12&gt;$BM$12</formula>
    </cfRule>
  </conditionalFormatting>
  <conditionalFormatting sqref="O12">
    <cfRule type="expression" dxfId="754" priority="1721" stopIfTrue="1">
      <formula>$O$12&lt;$BL$12</formula>
    </cfRule>
    <cfRule type="expression" dxfId="753" priority="1722" stopIfTrue="1">
      <formula>$O$12&gt;$BM$12</formula>
    </cfRule>
  </conditionalFormatting>
  <conditionalFormatting sqref="O17:O18">
    <cfRule type="cellIs" dxfId="752" priority="80" stopIfTrue="1" operator="lessThan">
      <formula>$BL$17</formula>
    </cfRule>
    <cfRule type="cellIs" dxfId="751" priority="81" stopIfTrue="1" operator="greaterThan">
      <formula>$BM$17</formula>
    </cfRule>
  </conditionalFormatting>
  <conditionalFormatting sqref="P9:Q12">
    <cfRule type="cellIs" dxfId="750" priority="110" stopIfTrue="1" operator="notBetween">
      <formula>$Q$26</formula>
      <formula>$Q$27</formula>
    </cfRule>
  </conditionalFormatting>
  <conditionalFormatting sqref="P15:Q18">
    <cfRule type="cellIs" dxfId="749" priority="108" stopIfTrue="1" operator="notBetween">
      <formula>$Q$26</formula>
      <formula>$Q$27</formula>
    </cfRule>
  </conditionalFormatting>
  <conditionalFormatting sqref="R15:R18 R9:R12">
    <cfRule type="cellIs" dxfId="748" priority="1346" stopIfTrue="1" operator="notBetween">
      <formula>$R$26</formula>
      <formula>$R$27</formula>
    </cfRule>
  </conditionalFormatting>
  <conditionalFormatting sqref="S15:S18 S9:S12">
    <cfRule type="cellIs" dxfId="747" priority="1347" stopIfTrue="1" operator="notBetween">
      <formula>$S$26</formula>
      <formula>$S$27</formula>
    </cfRule>
  </conditionalFormatting>
  <conditionalFormatting sqref="T15:T18 T9:T12">
    <cfRule type="cellIs" dxfId="746" priority="1348" stopIfTrue="1" operator="notBetween">
      <formula>$T$26</formula>
      <formula>$T$27</formula>
    </cfRule>
  </conditionalFormatting>
  <conditionalFormatting sqref="V15:V18 V9:V12">
    <cfRule type="cellIs" dxfId="745" priority="85" stopIfTrue="1" operator="notBetween">
      <formula>$V$26</formula>
      <formula>$V$27</formula>
    </cfRule>
  </conditionalFormatting>
  <conditionalFormatting sqref="W15:W18 W9:W12">
    <cfRule type="cellIs" dxfId="744" priority="307" stopIfTrue="1" operator="notBetween">
      <formula>$W$26</formula>
      <formula>$W$27</formula>
    </cfRule>
  </conditionalFormatting>
  <conditionalFormatting sqref="X15:X18 X9:X12">
    <cfRule type="cellIs" dxfId="743" priority="1350" stopIfTrue="1" operator="notBetween">
      <formula>$X$26</formula>
      <formula>$X$27</formula>
    </cfRule>
  </conditionalFormatting>
  <conditionalFormatting sqref="Y15:Y18 Y9:Y12">
    <cfRule type="cellIs" dxfId="742" priority="1351" stopIfTrue="1" operator="notBetween">
      <formula>$Y$26</formula>
      <formula>$Y$27</formula>
    </cfRule>
  </conditionalFormatting>
  <conditionalFormatting sqref="Z15:Z18 Z9:Z12">
    <cfRule type="cellIs" dxfId="741" priority="1358" stopIfTrue="1" operator="notBetween">
      <formula>$Z$26</formula>
      <formula>$Z$27</formula>
    </cfRule>
  </conditionalFormatting>
  <conditionalFormatting sqref="AA15:AA18 AA9:AA12">
    <cfRule type="cellIs" dxfId="740" priority="1359" stopIfTrue="1" operator="notBetween">
      <formula>$AA$26</formula>
      <formula>$AA$27</formula>
    </cfRule>
  </conditionalFormatting>
  <conditionalFormatting sqref="AB15:AB18 AB9:AB12">
    <cfRule type="cellIs" dxfId="739" priority="1352" stopIfTrue="1" operator="notBetween">
      <formula>$AB$26</formula>
      <formula>$AB$27</formula>
    </cfRule>
  </conditionalFormatting>
  <conditionalFormatting sqref="AC15:AC18 AC9:AC12">
    <cfRule type="cellIs" dxfId="738" priority="1360" stopIfTrue="1" operator="notBetween">
      <formula>$AC$26</formula>
      <formula>$AC$27</formula>
    </cfRule>
  </conditionalFormatting>
  <conditionalFormatting sqref="AD15:AD18 AD9:AD12">
    <cfRule type="cellIs" dxfId="737" priority="1353" stopIfTrue="1" operator="notBetween">
      <formula>$AD$26</formula>
      <formula>$AD$27</formula>
    </cfRule>
  </conditionalFormatting>
  <conditionalFormatting sqref="AE15:AE18 AE9:AE12">
    <cfRule type="cellIs" dxfId="736" priority="311" stopIfTrue="1" operator="notBetween">
      <formula>$AE$26</formula>
      <formula>$AE$27</formula>
    </cfRule>
  </conditionalFormatting>
  <conditionalFormatting sqref="AF15:AF18 AF9:AF12">
    <cfRule type="cellIs" dxfId="735" priority="308" stopIfTrue="1" operator="notBetween">
      <formula>$AF$26</formula>
      <formula>$AF$27</formula>
    </cfRule>
  </conditionalFormatting>
  <conditionalFormatting sqref="AG15:AG18 AG9:AG12">
    <cfRule type="cellIs" dxfId="734" priority="1719" stopIfTrue="1" operator="notBetween">
      <formula>$AG$26</formula>
      <formula>$AG$27</formula>
    </cfRule>
  </conditionalFormatting>
  <conditionalFormatting sqref="AH15:AH18 AH9:AH12">
    <cfRule type="cellIs" dxfId="733" priority="1354" stopIfTrue="1" operator="notBetween">
      <formula>$AH$26</formula>
      <formula>$AH$27</formula>
    </cfRule>
  </conditionalFormatting>
  <conditionalFormatting sqref="AI15:AI18 AI9:AI12">
    <cfRule type="cellIs" dxfId="732" priority="310" stopIfTrue="1" operator="notBetween">
      <formula>$AI$26</formula>
      <formula>$AI$27</formula>
    </cfRule>
  </conditionalFormatting>
  <conditionalFormatting sqref="AJ15:AJ18 AJ9:AJ12">
    <cfRule type="cellIs" dxfId="731" priority="312" stopIfTrue="1" operator="notBetween">
      <formula>$AJ$26</formula>
      <formula>$AJ$27</formula>
    </cfRule>
  </conditionalFormatting>
  <conditionalFormatting sqref="AK15:AK18 AK9:AK12">
    <cfRule type="cellIs" dxfId="730" priority="1355" stopIfTrue="1" operator="notBetween">
      <formula>$AK$26</formula>
      <formula>$AK$27</formula>
    </cfRule>
  </conditionalFormatting>
  <conditionalFormatting sqref="AL15:AL18 AL9:AL12">
    <cfRule type="cellIs" dxfId="729" priority="314" stopIfTrue="1" operator="notBetween">
      <formula>$AL$26</formula>
      <formula>$AL$27</formula>
    </cfRule>
  </conditionalFormatting>
  <conditionalFormatting sqref="AM15:AM18 AM9:AM12">
    <cfRule type="cellIs" dxfId="728" priority="318" stopIfTrue="1" operator="notBetween">
      <formula>$AM$26</formula>
      <formula>$AM$27</formula>
    </cfRule>
  </conditionalFormatting>
  <conditionalFormatting sqref="AN15:AN18 AN9:AN12">
    <cfRule type="cellIs" dxfId="727" priority="319" stopIfTrue="1" operator="notBetween">
      <formula>$AN$26</formula>
      <formula>$AN$27</formula>
    </cfRule>
  </conditionalFormatting>
  <conditionalFormatting sqref="AO15:AO18 AO9:AO12">
    <cfRule type="cellIs" dxfId="726" priority="320" stopIfTrue="1" operator="notBetween">
      <formula>$AO$26</formula>
      <formula>$AO$27</formula>
    </cfRule>
  </conditionalFormatting>
  <conditionalFormatting sqref="AP15:AP18 AP9:AP12">
    <cfRule type="cellIs" dxfId="725" priority="254" stopIfTrue="1" operator="notBetween">
      <formula>$AP$26</formula>
      <formula>$AP$27</formula>
    </cfRule>
  </conditionalFormatting>
  <conditionalFormatting sqref="AQ15:AQ18 AQ9:AQ12">
    <cfRule type="cellIs" dxfId="724" priority="251" stopIfTrue="1" operator="notBetween">
      <formula>$AQ$26</formula>
      <formula>$AQ$27</formula>
    </cfRule>
  </conditionalFormatting>
  <conditionalFormatting sqref="AR15:AR18 AR9:AR12">
    <cfRule type="cellIs" dxfId="723" priority="377" stopIfTrue="1" operator="notBetween">
      <formula>$AR$26</formula>
      <formula>$AR$27</formula>
    </cfRule>
  </conditionalFormatting>
  <conditionalFormatting sqref="AS15:AS18 AS9:AS12">
    <cfRule type="cellIs" dxfId="722" priority="250" stopIfTrue="1" operator="notBetween">
      <formula>$AS$26</formula>
      <formula>$AS$27</formula>
    </cfRule>
  </conditionalFormatting>
  <conditionalFormatting sqref="AT15:AT18 AT9:AT12">
    <cfRule type="cellIs" dxfId="721" priority="1356" stopIfTrue="1" operator="notBetween">
      <formula>$AT$26</formula>
      <formula>$AT$27</formula>
    </cfRule>
  </conditionalFormatting>
  <conditionalFormatting sqref="AU15:AU18 AU9:AU12">
    <cfRule type="cellIs" dxfId="720" priority="1357" stopIfTrue="1" operator="notBetween">
      <formula>$AU$26</formula>
      <formula>$AU$27</formula>
    </cfRule>
  </conditionalFormatting>
  <conditionalFormatting sqref="AV15:AW18 AV9:AW12">
    <cfRule type="cellIs" dxfId="719" priority="1" stopIfTrue="1" operator="notBetween">
      <formula>$AV$26</formula>
      <formula>$AV$27</formula>
    </cfRule>
  </conditionalFormatting>
  <conditionalFormatting sqref="BF8:BM8 BF13:BM14 BF19:BM20">
    <cfRule type="cellIs" dxfId="718" priority="759" stopIfTrue="1" operator="equal">
      <formula>$A$32</formula>
    </cfRule>
  </conditionalFormatting>
  <conditionalFormatting sqref="BF15:BM18 BF9:BM12">
    <cfRule type="cellIs" dxfId="717" priority="758" stopIfTrue="1" operator="equal">
      <formula>$A$32</formula>
    </cfRule>
  </conditionalFormatting>
  <conditionalFormatting sqref="N10">
    <cfRule type="cellIs" dxfId="716" priority="4797" stopIfTrue="1" operator="greaterThan">
      <formula>#REF!</formula>
    </cfRule>
    <cfRule type="cellIs" dxfId="715" priority="4798"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4"/>
  <sheetViews>
    <sheetView topLeftCell="C1" zoomScale="85" zoomScaleNormal="85" workbookViewId="0">
      <selection activeCell="C25" sqref="A25:XFD25"/>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ANDALUCIA</v>
      </c>
      <c r="E2" s="262"/>
    </row>
    <row r="3" spans="2:20" ht="17.25" customHeight="1">
      <c r="C3" s="266"/>
      <c r="D3" s="261" t="str">
        <f>Criterios!A10 &amp;"  "&amp;Criterios!B10</f>
        <v>Provincias  CADIZ</v>
      </c>
      <c r="E3" s="262"/>
    </row>
    <row r="4" spans="2:20" ht="17.25" customHeight="1" thickBot="1">
      <c r="D4" s="261" t="str">
        <f>Criterios!A11 &amp;"  "&amp;Criterios!B11</f>
        <v>Resumenes por Partidos Judiciales  SAN ROQUE</v>
      </c>
      <c r="E4" s="262"/>
    </row>
    <row r="5" spans="2:20" ht="12.75" customHeight="1">
      <c r="B5" s="271"/>
      <c r="C5" s="1545" t="str">
        <f>"Año:  " &amp;Criterios!B5 &amp; "          Trimestre   " &amp;Criterios!D5 &amp; " al " &amp;Criterios!D6</f>
        <v>Año:  2026          Trimestre   1 al 1</v>
      </c>
      <c r="D5" s="1565" t="s">
        <v>130</v>
      </c>
      <c r="E5" s="1596" t="s">
        <v>13</v>
      </c>
      <c r="F5" s="1593" t="s">
        <v>9</v>
      </c>
      <c r="G5" s="1590" t="s">
        <v>131</v>
      </c>
      <c r="H5" s="1587" t="s">
        <v>7</v>
      </c>
      <c r="I5" s="1562" t="s">
        <v>120</v>
      </c>
      <c r="J5" s="1539" t="s">
        <v>121</v>
      </c>
      <c r="K5" s="1556" t="s">
        <v>122</v>
      </c>
      <c r="M5" s="161"/>
      <c r="N5" s="169" t="s">
        <v>278</v>
      </c>
      <c r="O5" s="161"/>
      <c r="P5" s="161"/>
      <c r="Q5" s="170" t="s">
        <v>279</v>
      </c>
      <c r="R5" s="170"/>
      <c r="S5" s="168"/>
      <c r="T5" s="168"/>
    </row>
    <row r="6" spans="2:20" ht="12.75" customHeight="1">
      <c r="B6" s="272"/>
      <c r="C6" s="1546"/>
      <c r="D6" s="1566"/>
      <c r="E6" s="1597"/>
      <c r="F6" s="1594"/>
      <c r="G6" s="1591"/>
      <c r="H6" s="1588"/>
      <c r="I6" s="1563"/>
      <c r="J6" s="1540"/>
      <c r="K6" s="1557"/>
      <c r="M6" s="1601" t="s">
        <v>294</v>
      </c>
      <c r="N6" s="1601" t="s">
        <v>275</v>
      </c>
      <c r="O6" s="1601" t="s">
        <v>276</v>
      </c>
      <c r="P6" s="1601" t="s">
        <v>277</v>
      </c>
      <c r="Q6" s="1601" t="s">
        <v>294</v>
      </c>
      <c r="R6" s="1601" t="s">
        <v>275</v>
      </c>
      <c r="S6" s="1601" t="s">
        <v>276</v>
      </c>
      <c r="T6" s="1601" t="s">
        <v>277</v>
      </c>
    </row>
    <row r="7" spans="2:20" ht="23.25" customHeight="1" thickBot="1">
      <c r="B7" s="273"/>
      <c r="C7" s="263" t="str">
        <f>Datos!A7</f>
        <v>COMPETENCIAS</v>
      </c>
      <c r="D7" s="1599"/>
      <c r="E7" s="1598"/>
      <c r="F7" s="1595"/>
      <c r="G7" s="1592"/>
      <c r="H7" s="1589"/>
      <c r="I7" s="1600"/>
      <c r="J7" s="1584"/>
      <c r="K7" s="1585"/>
      <c r="M7" s="1601"/>
      <c r="N7" s="1601"/>
      <c r="O7" s="1601"/>
      <c r="P7" s="1601"/>
      <c r="Q7" s="1601"/>
      <c r="R7" s="1601"/>
      <c r="S7" s="1601"/>
      <c r="T7" s="1601"/>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247</v>
      </c>
      <c r="C9" s="159" t="str">
        <f>Datos!A9</f>
        <v>Sección Civil del T.I</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247</v>
      </c>
      <c r="C10" s="7" t="str">
        <f>Datos!A10</f>
        <v>Sección De Violencia sobre la Mujer del TI</v>
      </c>
      <c r="D10" s="351" t="str">
        <f>IF(ISNUMBER((Datos!I10-Datos!S10)/Datos!S10),(Datos!I10-Datos!S10)/Datos!S10," - ")</f>
        <v xml:space="preserve"> - </v>
      </c>
      <c r="E10" s="347" t="str">
        <f>IF(ISNUMBER((Datos!J10-Datos!T10)/Datos!T10),(Datos!J10-Datos!T10)/Datos!T10," - ")</f>
        <v xml:space="preserve"> - </v>
      </c>
      <c r="F10" s="347" t="str">
        <f>IF(ISNUMBER((Datos!K10-Datos!U10)/Datos!U10),(Datos!K10-Datos!U10)/Datos!U10," - ")</f>
        <v xml:space="preserve"> - </v>
      </c>
      <c r="G10" s="348" t="str">
        <f>IF(ISNUMBER((Datos!L10-Datos!V10)/Datos!V10),(Datos!L10-Datos!V10)/Datos!V10," - ")</f>
        <v xml:space="preserve"> - </v>
      </c>
      <c r="H10" s="229" t="str">
        <f>IF(ISNUMBER((Datos!M10-Datos!W10)/Datos!W10),(Datos!M10-Datos!W10)/Datos!W10," - ")</f>
        <v xml:space="preserve"> - </v>
      </c>
      <c r="I10" s="349" t="str">
        <f>IF(ISNUMBER((Tasas!C10-Datos!BE10)/Datos!BE10),(Tasas!C10-Datos!BE10)/Datos!BE10," - ")</f>
        <v xml:space="preserve"> - </v>
      </c>
      <c r="J10" s="348" t="str">
        <f>IF(ISNUMBER((Tasas!D10-Datos!BF10)/Datos!BF10),(Tasas!D10-Datos!BF10)/Datos!BF10," - ")</f>
        <v xml:space="preserve"> - </v>
      </c>
      <c r="K10" s="350" t="str">
        <f>IF(ISNUMBER((Tasas!E10-Datos!BG10)/Datos!BG10),(Tasas!E10-Datos!BG10)/Datos!BG10," - ")</f>
        <v xml:space="preserve"> - </v>
      </c>
    </row>
    <row r="11" spans="2:20" ht="14.25">
      <c r="B11" s="274" t="s">
        <v>247</v>
      </c>
      <c r="C11" s="159" t="str">
        <f>Datos!A11</f>
        <v xml:space="preserve">Sección de Familia, infancia e incapacidad del TI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247</v>
      </c>
      <c r="C12" s="159" t="str">
        <f>Datos!A12</f>
        <v xml:space="preserve">Sección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0.43786982248520712</v>
      </c>
      <c r="I12" s="349">
        <f>IF(ISNUMBER((Tasas!C12-Datos!BE12)/Datos!BE12),(Tasas!C12-Datos!BE12)/Datos!BE12," - ")</f>
        <v>1.8057729507565351E-3</v>
      </c>
      <c r="J12" s="348">
        <f>IF(ISNUMBER((Tasas!D12-Datos!BF12)/Datos!BF12),(Tasas!D12-Datos!BF12)/Datos!BF12," - ")</f>
        <v>-0.39497774494080329</v>
      </c>
      <c r="K12" s="350">
        <f>IF(ISNUMBER((Tasas!E12-Datos!BG12)/Datos!BG12),(Tasas!E12-Datos!BG12)/Datos!BG12," - ")</f>
        <v>-8.329795533586995E-2</v>
      </c>
      <c r="M12" t="e">
        <f>IF(Monitorios="SI",Datos!CE12,0)</f>
        <v>#REF!</v>
      </c>
      <c r="N12" t="e">
        <f>IF(Monitorios="SI",Datos!CF12,0)</f>
        <v>#REF!</v>
      </c>
      <c r="O12" t="e">
        <f>IF(Monitorios="SI",Datos!CG12,0)</f>
        <v>#REF!</v>
      </c>
      <c r="P12" t="e">
        <f>IF(Monitorios="SI",Datos!CH12,0)</f>
        <v>#REF!</v>
      </c>
      <c r="Q12">
        <f>IF(J_V="SI",0,Datos!AG12)</f>
        <v>16</v>
      </c>
      <c r="R12">
        <f>IF(J_V="SI",0,Datos!AH12)</f>
        <v>9</v>
      </c>
      <c r="S12">
        <f>IF(J_V="SI",0,Datos!AI12)</f>
        <v>14</v>
      </c>
      <c r="T12">
        <f>IF(J_V="SI",0,Datos!AJ12)</f>
        <v>11</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0.43786982248520712</v>
      </c>
      <c r="I13" s="356">
        <f>IF(ISNUMBER((Tasas!C13-Datos!BE13)/Datos!BE13),(Tasas!C13-Datos!BE13)/Datos!BE13," - ")</f>
        <v>1.8057729507565351E-3</v>
      </c>
      <c r="J13" s="354">
        <f>IF(ISNUMBER((Tasas!D13-Datos!BF13)/Datos!BF13),(Tasas!D13-Datos!BF13)/Datos!BF13," - ")</f>
        <v>-0.39497774494080329</v>
      </c>
      <c r="K13" s="357">
        <f>IF(ISNUMBER((Tasas!E13-Datos!BG13)/Datos!BG13),(Tasas!E13-Datos!BG13)/Datos!BG13," - ")</f>
        <v>-8.329795533586995E-2</v>
      </c>
      <c r="M13" t="e">
        <f>IF(Monitorios="SI",Datos!CE13,0)</f>
        <v>#REF!</v>
      </c>
      <c r="N13" t="e">
        <f>IF(Monitorios="SI",Datos!CF13,0)</f>
        <v>#REF!</v>
      </c>
      <c r="O13" t="e">
        <f>IF(Monitorios="SI",Datos!CG13,0)</f>
        <v>#REF!</v>
      </c>
      <c r="P13" t="e">
        <f>IF(Monitorios="SI",Datos!CH13,0)</f>
        <v>#REF!</v>
      </c>
      <c r="Q13">
        <f>IF(J_V="SI",0,Datos!AG13)</f>
        <v>16</v>
      </c>
      <c r="R13">
        <f>IF(J_V="SI",0,Datos!AH13)</f>
        <v>9</v>
      </c>
      <c r="S13">
        <f>IF(J_V="SI",0,Datos!AI13)</f>
        <v>14</v>
      </c>
      <c r="T13">
        <f>IF(J_V="SI",0,Datos!AJ13)</f>
        <v>11</v>
      </c>
    </row>
    <row r="14" spans="2:20" ht="15" thickTop="1">
      <c r="B14" s="178"/>
      <c r="C14" s="70" t="str">
        <f>Datos!A14</f>
        <v xml:space="preserve">Jurisdicción Penal ( 2 ):                      </v>
      </c>
      <c r="D14" s="245"/>
      <c r="E14" s="246"/>
      <c r="F14" s="246"/>
      <c r="G14" s="246"/>
      <c r="H14" s="269"/>
      <c r="I14" s="246"/>
      <c r="J14" s="246"/>
      <c r="K14" s="287"/>
    </row>
    <row r="15" spans="2:20" ht="14.25">
      <c r="B15" s="274" t="s">
        <v>397</v>
      </c>
      <c r="C15" s="7" t="str">
        <f>Datos!A15</f>
        <v xml:space="preserve">Seccion Instruccion Del T.I.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s="1453" customFormat="1" ht="14.25">
      <c r="B16" s="274" t="s">
        <v>397</v>
      </c>
      <c r="C16" s="1193" t="str">
        <f>Datos!A16</f>
        <v>Seccion Violencia contra la inf y adol.</v>
      </c>
      <c r="D16" s="351" t="str">
        <f>IF(ISNUMBER(
   IF(D_I="SI",(Datos!I16-Datos!S16)/Datos!S16,(Datos!I16+Datos!AC16-(Datos!S16+Datos!AK16))/(Datos!S16+Datos!AK16))
     ),IF(D_I="SI",(Datos!I16-Datos!S16)/Datos!S16,(Datos!I16+Datos!AC16-(Datos!S16+Datos!AK16))/(Datos!S16+Datos!AK16))," - ")</f>
        <v xml:space="preserve"> - </v>
      </c>
      <c r="E16" s="1250" t="str">
        <f>IF(ISNUMBER(
   IF(D_I="SI",(Datos!J16-Datos!T16)/Datos!T16,(Datos!J16+Datos!AD16-(Datos!T16+Datos!AL16))/(Datos!T16+Datos!AL16))
     ),IF(D_I="SI",(Datos!J16-Datos!T16)/Datos!T16,(Datos!J16+Datos!AD16-(Datos!T16+Datos!AL16))/(Datos!T16+Datos!AL16))," - ")</f>
        <v xml:space="preserve"> - </v>
      </c>
      <c r="F16" s="1250"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121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4.25">
      <c r="B17" s="274" t="s">
        <v>397</v>
      </c>
      <c r="C17" s="7" t="str">
        <f>Datos!A17</f>
        <v xml:space="preserve">Sección Civil y de Inst. TI                      </v>
      </c>
      <c r="D17" s="351">
        <f>IF(ISNUMBER(
   IF(D_I="SI",(Datos!I17-Datos!S17)/Datos!S17,(Datos!I17+Datos!AC17-(Datos!S17+Datos!AK17))/(Datos!S17+Datos!AK17))
     ),IF(D_I="SI",(Datos!I17-Datos!S17)/Datos!S17,(Datos!I17+Datos!AC17-(Datos!S17+Datos!AK17))/(Datos!S17+Datos!AK17))," - ")</f>
        <v>-0.15361077111383109</v>
      </c>
      <c r="E17" s="347">
        <f>IF(ISNUMBER(
   IF(D_I="SI",(Datos!J17-Datos!T17)/Datos!T17,(Datos!J17+Datos!AD17-(Datos!T17+Datos!AL17))/(Datos!T17+Datos!AL17))
     ),IF(D_I="SI",(Datos!J17-Datos!T17)/Datos!T17,(Datos!J17+Datos!AD17-(Datos!T17+Datos!AL17))/(Datos!T17+Datos!AL17))," - ")</f>
        <v>-0.34698275862068967</v>
      </c>
      <c r="F17" s="347">
        <f>IF(ISNUMBER(
   IF(D_I="SI",(Datos!K17-Datos!U17)/Datos!U17,(Datos!K17+Datos!AE17-(Datos!U17+Datos!AM17))/(Datos!U17+Datos!AM17))
     ),IF(D_I="SI",(Datos!K17-Datos!U17)/Datos!U17,(Datos!K17+Datos!AE17-(Datos!U17+Datos!AM17))/(Datos!U17+Datos!AM17))," - ")</f>
        <v>-0.12525252525252525</v>
      </c>
      <c r="G17" s="348">
        <f>IF(ISNUMBER(
   IF(D_I="SI",(Datos!L17-Datos!V17)/Datos!V17,(Datos!L17+Datos!AF17-(Datos!V17+Datos!AN17))/(Datos!V17+Datos!AN17))
     ),IF(D_I="SI",(Datos!L17-Datos!V17)/Datos!V17,(Datos!L17+Datos!AF17-(Datos!V17+Datos!AN17))/(Datos!V17+Datos!AN17))," - ")</f>
        <v>-0.11977542108546475</v>
      </c>
      <c r="H17" s="229">
        <f>IF(ISNUMBER((Datos!M17-Datos!W17)/Datos!W17),(Datos!M17-Datos!W17)/Datos!W17," - ")</f>
        <v>-0.19642857142857142</v>
      </c>
      <c r="I17" s="349">
        <f>IF(ISNUMBER((Tasas!C17-Datos!BE17)/Datos!BE17),(Tasas!C17-Datos!BE17)/Datos!BE17," - ")</f>
        <v>6.2613546482561365E-3</v>
      </c>
      <c r="J17" s="348">
        <f>IF(ISNUMBER((Tasas!D17-Datos!BF17)/Datos!BF17),(Tasas!D17-Datos!BF17)/Datos!BF17," - ")</f>
        <v>-8.1367535466842625E-2</v>
      </c>
      <c r="K17" s="350">
        <f>IF(ISNUMBER((Tasas!E17-Datos!BG17)/Datos!BG17),(Tasas!E17-Datos!BG17)/Datos!BG17," - ")</f>
        <v>-8.1309153994676614E-2</v>
      </c>
    </row>
    <row r="18" spans="2:20" ht="15" thickBot="1">
      <c r="B18" s="274" t="s">
        <v>397</v>
      </c>
      <c r="C18" s="7" t="str">
        <f>Datos!A18</f>
        <v>Sección De Violencia sobre la Mujer del TI</v>
      </c>
      <c r="D18" s="351">
        <f>IF(ISNUMBER(
   IF(D_I="SI",(Datos!I18-Datos!S18)/Datos!S18,(Datos!I18+Datos!AC18-(Datos!S18+Datos!AK18))/(Datos!S18+Datos!AK18))
     ),IF(D_I="SI",(Datos!I18-Datos!S18)/Datos!S18,(Datos!I18+Datos!AC18-(Datos!S18+Datos!AK18))/(Datos!S18+Datos!AK18))," - ")</f>
        <v>-0.56666666666666665</v>
      </c>
      <c r="E18" s="347">
        <f>IF(ISNUMBER(
   IF(D_I="SI",(Datos!J18-Datos!T18)/Datos!T18,(Datos!J18+Datos!AD18-(Datos!T18+Datos!AL18))/(Datos!T18+Datos!AL18))
     ),IF(D_I="SI",(Datos!J18-Datos!T18)/Datos!T18,(Datos!J18+Datos!AD18-(Datos!T18+Datos!AL18))/(Datos!T18+Datos!AL18))," - ")</f>
        <v>-1</v>
      </c>
      <c r="F18" s="347">
        <f>IF(ISNUMBER(
   IF(D_I="SI",(Datos!K18-Datos!U18)/Datos!U18,(Datos!K18+Datos!AE18-(Datos!U18+Datos!AM18))/(Datos!U18+Datos!AM18))
     ),IF(D_I="SI",(Datos!K18-Datos!U18)/Datos!U18,(Datos!K18+Datos!AE18-(Datos!U18+Datos!AM18))/(Datos!U18+Datos!AM18))," - ")</f>
        <v>-1</v>
      </c>
      <c r="G18" s="348">
        <f>IF(ISNUMBER(
   IF(D_I="SI",(Datos!L18-Datos!V18)/Datos!V18,(Datos!L18+Datos!AF18-(Datos!V18+Datos!AN18))/(Datos!V18+Datos!AN18))
     ),IF(D_I="SI",(Datos!L18-Datos!V18)/Datos!V18,(Datos!L18+Datos!AF18-(Datos!V18+Datos!AN18))/(Datos!V18+Datos!AN18))," - ")</f>
        <v>-0.1875</v>
      </c>
      <c r="H18" s="229" t="str">
        <f>IF(ISNUMBER((Datos!M18-Datos!W18)/Datos!W18),(Datos!M18-Datos!W18)/Datos!W18," - ")</f>
        <v xml:space="preserve"> - </v>
      </c>
      <c r="I18" s="349" t="str">
        <f>IF(ISNUMBER((Tasas!C18-Datos!BE18)/Datos!BE18),(Tasas!C18-Datos!BE18)/Datos!BE18," - ")</f>
        <v xml:space="preserve"> - </v>
      </c>
      <c r="J18" s="348" t="str">
        <f>IF(ISNUMBER((Tasas!D18-Datos!BF18)/Datos!BF18),(Tasas!D18-Datos!BF18)/Datos!BF18," - ")</f>
        <v xml:space="preserve"> - </v>
      </c>
      <c r="K18" s="350" t="str">
        <f>IF(ISNUMBER((Tasas!E18-Datos!BG18)/Datos!BG18),(Tasas!E18-Datos!BG18)/Datos!BG18," - ")</f>
        <v xml:space="preserve"> - </v>
      </c>
    </row>
    <row r="19" spans="2:20" ht="16.5" hidden="1" thickTop="1" thickBot="1">
      <c r="B19" s="177"/>
      <c r="C19" s="72" t="str">
        <f>Datos!A19</f>
        <v>TOTAL</v>
      </c>
      <c r="D19" s="352">
        <f>IF(ISNUMBER(
   IF(D_I="SI",(Datos!I19-Datos!S19)/Datos!S19,(Datos!I19+Datos!AC19-(Datos!S19+Datos!AK19))/(Datos!S19+Datos!AK19))
     ),IF(D_I="SI",(Datos!I19-Datos!S19)/Datos!S19,(Datos!I19+Datos!AC19-(Datos!S19+Datos!AK19))/(Datos!S19+Datos!AK19))," - ")</f>
        <v>-0.16105769230769232</v>
      </c>
      <c r="E19" s="353">
        <f>IF(ISNUMBER(
   IF(D_I="SI",(Datos!J19-Datos!T19)/Datos!T19,(Datos!J19+Datos!AD19-(Datos!T19+Datos!AL19))/(Datos!T19+Datos!AL19))
     ),IF(D_I="SI",(Datos!J19-Datos!T19)/Datos!T19,(Datos!J19+Datos!AD19-(Datos!T19+Datos!AL19))/(Datos!T19+Datos!AL19))," - ")</f>
        <v>-0.34978540772532191</v>
      </c>
      <c r="F19" s="353">
        <f>IF(ISNUMBER(
   IF(D_I="SI",(Datos!K19-Datos!U19)/Datos!U19,(Datos!K19+Datos!AE19-(Datos!U19+Datos!AM19))/(Datos!U19+Datos!AM19))
     ),IF(D_I="SI",(Datos!K19-Datos!U19)/Datos!U19,(Datos!K19+Datos!AE19-(Datos!U19+Datos!AM19))/(Datos!U19+Datos!AM19))," - ")</f>
        <v>-0.14931237721021612</v>
      </c>
      <c r="G19" s="354">
        <f>IF(ISNUMBER(
   IF(D_I="SI",(Datos!L19-Datos!V19)/Datos!V19,(Datos!L19+Datos!AF19-(Datos!V19+Datos!AN19))/(Datos!V19+Datos!AN19))
     ),IF(D_I="SI",(Datos!L19-Datos!V19)/Datos!V19,(Datos!L19+Datos!AF19-(Datos!V19+Datos!AN19))/(Datos!V19+Datos!AN19))," - ")</f>
        <v>-0.12044471896232242</v>
      </c>
      <c r="H19" s="355">
        <f>IF(ISNUMBER((Datos!M19-Datos!W19)/Datos!W19),(Datos!M19-Datos!W19)/Datos!W19," - ")</f>
        <v>-0.19642857142857142</v>
      </c>
      <c r="I19" s="356">
        <f>IF(ISNUMBER((Tasas!C19-Datos!BE19)/Datos!BE19),(Tasas!C19-Datos!BE19)/Datos!BE19," - ")</f>
        <v>3.3934498956530855E-2</v>
      </c>
      <c r="J19" s="354">
        <f>IF(ISNUMBER((Tasas!D19-Datos!BF19)/Datos!BF19),(Tasas!D19-Datos!BF19)/Datos!BF19," - ")</f>
        <v>-5.5386011217419963E-2</v>
      </c>
      <c r="K19" s="357">
        <f>IF(ISNUMBER((Tasas!E19-Datos!BG19)/Datos!BG19),(Tasas!E19-Datos!BG19)/Datos!BG19," - ")</f>
        <v>-6.2343731364321447E-2</v>
      </c>
      <c r="M19" t="e">
        <f>IF(Monitorios="SI",Datos!CE19,0)</f>
        <v>#REF!</v>
      </c>
      <c r="N19" t="e">
        <f>IF(Monitorios="SI",Datos!CF19,0)</f>
        <v>#REF!</v>
      </c>
      <c r="O19" t="e">
        <f>IF(Monitorios="SI",Datos!CG19,0)</f>
        <v>#REF!</v>
      </c>
      <c r="P19" t="e">
        <f>IF(Monitorios="SI",Datos!CH19,0)</f>
        <v>#REF!</v>
      </c>
      <c r="Q19">
        <f>IF(J_V="SI",0,Datos!AG19)</f>
        <v>0</v>
      </c>
      <c r="R19">
        <f>IF(J_V="SI",0,Datos!AH19)</f>
        <v>0</v>
      </c>
      <c r="S19">
        <f>IF(J_V="SI",0,Datos!AI19)</f>
        <v>0</v>
      </c>
      <c r="T19">
        <f>IF(J_V="SI",0,Datos!AJ19)</f>
        <v>0</v>
      </c>
    </row>
    <row r="20" spans="2:20" ht="15.75" hidden="1" customHeight="1" thickBot="1">
      <c r="B20" s="171"/>
      <c r="C20" s="171" t="str">
        <f>Datos!A20</f>
        <v>TOTAL JURISDICCIONES</v>
      </c>
      <c r="D20" s="361">
        <f>IF(ISNUMBER(
   IF(J_V="SI",(Datos!I20-Datos!S20)/Datos!S20,(Datos!I20+Datos!Y20-(Datos!S20+Datos!AG20))/(Datos!S20+Datos!AG20))
     ),IF(J_V="SI",(Datos!I20-Datos!S20)/Datos!S20,(Datos!I20+Datos!Y20-(Datos!S20+Datos!AG20))/(Datos!S20+Datos!AG20))," - ")</f>
        <v>-0.20381110190555096</v>
      </c>
      <c r="E20" s="362">
        <f>IF(ISNUMBER(
   IF(J_V="SI",(Datos!J20-Datos!T20)/Datos!T20,(Datos!J20+Datos!Z20-(Datos!T20+Datos!AH20))/(Datos!T20+Datos!AH20))
     ),IF(J_V="SI",(Datos!J20-Datos!T20)/Datos!T20,(Datos!J20+Datos!Z20-(Datos!T20+Datos!AH20))/(Datos!T20+Datos!AH20))," - ")</f>
        <v>-0.39285714285714285</v>
      </c>
      <c r="F20" s="362">
        <f>IF(ISNUMBER(
   IF(J_V="SI",(Datos!K20-Datos!U20)/Datos!U20,(Datos!K20+Datos!AA20-(Datos!U20+Datos!AI20))/(Datos!U20+Datos!AI20))
     ),IF(J_V="SI",(Datos!K20-Datos!U20)/Datos!U20,(Datos!K20+Datos!AA20-(Datos!U20+Datos!AI20))/(Datos!U20+Datos!AI20))," - ")</f>
        <v>-0.20328849028400597</v>
      </c>
      <c r="G20" s="363">
        <f>IF(ISNUMBER(
   IF(J_V="SI",(Datos!L20-Datos!V20)/Datos!V20,(Datos!L20+Datos!AB20-(Datos!V20+Datos!AJ20))/(Datos!V20+Datos!AJ20))
     ),IF(J_V="SI",(Datos!L20-Datos!V20)/Datos!V20,(Datos!L20+Datos!AB20-(Datos!V20+Datos!AJ20))/(Datos!V20+Datos!AJ20))," - ")</f>
        <v>-0.18613234906406539</v>
      </c>
      <c r="H20" s="364">
        <f>IF(ISNUMBER((Datos!M20-Datos!W20)/Datos!W20),(Datos!M20-Datos!W20)/Datos!W20," - ")</f>
        <v>0.18505338078291814</v>
      </c>
      <c r="I20" s="361">
        <f>IF(ISNUMBER((Tasas!C20-Datos!BE20)/Datos!BE20),(Tasas!C20-Datos!BE20)/Datos!BE20," - ")</f>
        <v>2.1533693201013639E-2</v>
      </c>
      <c r="J20" s="362">
        <f>IF(ISNUMBER((Tasas!D20-Datos!BF20)/Datos!BF20),(Tasas!D20-Datos!BF20)/Datos!BF20," - ")</f>
        <v>-0.34487757826698118</v>
      </c>
      <c r="K20" s="363">
        <f>IF(ISNUMBER((Tasas!E20-Datos!BG20)/Datos!BG20),(Tasas!E20-Datos!BG20)/Datos!BG20," - ")</f>
        <v>-7.0551107884859368E-2</v>
      </c>
    </row>
    <row r="21" spans="2:20" ht="15.75" customHeight="1" thickTop="1" thickBot="1">
      <c r="B21" s="166"/>
      <c r="C21" s="809" t="s">
        <v>265</v>
      </c>
      <c r="D21" s="810">
        <f t="shared" ref="D21:K21" ca="1" si="0">IF(ISNUMBER(SUMIF($B8:$B19,$B21,D8:D19)/INDIRECT("Datos!AP"&amp;ROW()-1)),SUMIF($B8:$B19,$B21,D8:D19)/INDIRECT("Datos!AP"&amp;ROW()-1),"-")</f>
        <v>0</v>
      </c>
      <c r="E21" s="811">
        <f t="shared" ca="1" si="0"/>
        <v>0</v>
      </c>
      <c r="F21" s="811">
        <f t="shared" ca="1" si="0"/>
        <v>0</v>
      </c>
      <c r="G21" s="812">
        <f t="shared" ca="1" si="0"/>
        <v>0</v>
      </c>
      <c r="H21" s="813">
        <f t="shared" ca="1" si="0"/>
        <v>0</v>
      </c>
      <c r="I21" s="810">
        <f t="shared" ca="1" si="0"/>
        <v>0</v>
      </c>
      <c r="J21" s="811">
        <f t="shared" ca="1" si="0"/>
        <v>0</v>
      </c>
      <c r="K21" s="812">
        <f t="shared" ca="1" si="0"/>
        <v>0</v>
      </c>
    </row>
    <row r="22" spans="2:20" ht="15.75" hidden="1" customHeight="1" thickTop="1" thickBot="1">
      <c r="B22" s="167"/>
      <c r="C22" s="167" t="s">
        <v>266</v>
      </c>
      <c r="D22" s="276">
        <f t="shared" ref="D22:K22" si="1">IF(ISNUMBER( STDEV(D8:D19)),STDEV(D8:D19)," - ")</f>
        <v>0.23635752211665903</v>
      </c>
      <c r="E22" s="277">
        <f t="shared" si="1"/>
        <v>0.3762132348344428</v>
      </c>
      <c r="F22" s="277">
        <f t="shared" si="1"/>
        <v>0.49823546184192929</v>
      </c>
      <c r="G22" s="278">
        <f t="shared" si="1"/>
        <v>3.8909033363819782E-2</v>
      </c>
      <c r="H22" s="284">
        <f t="shared" si="1"/>
        <v>0.36621234847266732</v>
      </c>
      <c r="I22" s="276">
        <f t="shared" si="1"/>
        <v>1.5465061164716375E-2</v>
      </c>
      <c r="J22" s="277">
        <f t="shared" si="1"/>
        <v>0.18886124929019382</v>
      </c>
      <c r="K22" s="278">
        <f t="shared" si="1"/>
        <v>1.0188870241580153E-2</v>
      </c>
    </row>
    <row r="23" spans="2:20" ht="13.5" thickTop="1">
      <c r="C23" s="1586"/>
      <c r="D23" s="1586"/>
      <c r="E23" s="71"/>
      <c r="F23" s="71"/>
      <c r="G23" s="71"/>
    </row>
    <row r="24" spans="2:20">
      <c r="C24" s="292"/>
      <c r="D24" s="275"/>
      <c r="E24" s="275"/>
      <c r="F24" s="275"/>
      <c r="G24" s="275"/>
      <c r="H24" s="275"/>
      <c r="I24" s="294"/>
      <c r="J24" s="294"/>
      <c r="K24" s="294"/>
    </row>
    <row r="25" spans="2:20">
      <c r="C25" s="293"/>
      <c r="D25" s="275"/>
      <c r="E25" s="275"/>
      <c r="F25" s="275"/>
      <c r="G25" s="275"/>
      <c r="H25" s="275"/>
      <c r="I25" s="294"/>
      <c r="J25" s="294"/>
      <c r="K25" s="294"/>
    </row>
    <row r="26" spans="2:20" hidden="1">
      <c r="C26" s="7" t="s">
        <v>263</v>
      </c>
      <c r="D26" s="163">
        <f>D24+2*D25</f>
        <v>0</v>
      </c>
      <c r="E26" s="164">
        <f t="shared" ref="E26:K26" si="2">E24+2*E25</f>
        <v>0</v>
      </c>
      <c r="F26" s="164">
        <f t="shared" si="2"/>
        <v>0</v>
      </c>
      <c r="G26" s="164">
        <f t="shared" si="2"/>
        <v>0</v>
      </c>
      <c r="H26" s="270">
        <f t="shared" si="2"/>
        <v>0</v>
      </c>
      <c r="I26" s="164">
        <f t="shared" si="2"/>
        <v>0</v>
      </c>
      <c r="J26" s="149">
        <f t="shared" si="2"/>
        <v>0</v>
      </c>
      <c r="K26" s="165">
        <f t="shared" si="2"/>
        <v>0</v>
      </c>
    </row>
    <row r="27" spans="2:20" hidden="1">
      <c r="C27" s="7" t="s">
        <v>264</v>
      </c>
      <c r="D27" s="163">
        <f>MIN(0,D24-2*D25)</f>
        <v>0</v>
      </c>
      <c r="E27" s="164">
        <f t="shared" ref="E27:K27" si="3">MIN(0,E24-2*E25)</f>
        <v>0</v>
      </c>
      <c r="F27" s="164">
        <f t="shared" si="3"/>
        <v>0</v>
      </c>
      <c r="G27" s="164">
        <f t="shared" si="3"/>
        <v>0</v>
      </c>
      <c r="H27" s="164">
        <f t="shared" si="3"/>
        <v>0</v>
      </c>
      <c r="I27" s="164">
        <f t="shared" si="3"/>
        <v>0</v>
      </c>
      <c r="J27" s="149">
        <f t="shared" si="3"/>
        <v>0</v>
      </c>
      <c r="K27" s="165">
        <f t="shared" si="3"/>
        <v>0</v>
      </c>
    </row>
    <row r="31" spans="2:20" ht="12.75" customHeight="1">
      <c r="C31" s="120" t="str">
        <f>Criterios!A4</f>
        <v>Fecha Informe: 18 jun. 2026</v>
      </c>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row r="34" spans="3:13" ht="12.75" customHeight="1">
      <c r="C34" s="145"/>
      <c r="D34" s="145"/>
      <c r="E34" s="145"/>
      <c r="F34" s="145"/>
      <c r="G34" s="145"/>
      <c r="H34" s="145"/>
      <c r="I34" s="145"/>
      <c r="J34" s="145"/>
      <c r="K34" s="145"/>
      <c r="L34" s="145"/>
      <c r="M34" s="145"/>
    </row>
  </sheetData>
  <sheetProtection algorithmName="SHA-512" hashValue="K7OdRPJJk0T5Y2Q1LtBuoOG9oOzdCqrqpaxVgj/Jc+ARZObboZ0xm1z0IHwAYYgGo81GO1CYpSwZhGO6Xnw01Q==" saltValue="OyP9acSniyEel1cPC6w6gw==" spinCount="100000" sheet="1" objects="1" scenarios="1"/>
  <mergeCells count="18">
    <mergeCell ref="R6:R7"/>
    <mergeCell ref="S6:S7"/>
    <mergeCell ref="T6:T7"/>
    <mergeCell ref="M6:M7"/>
    <mergeCell ref="Q6:Q7"/>
    <mergeCell ref="N6:N7"/>
    <mergeCell ref="O6:O7"/>
    <mergeCell ref="P6:P7"/>
    <mergeCell ref="J5:J7"/>
    <mergeCell ref="K5:K7"/>
    <mergeCell ref="C23:D23"/>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60</vt:i4>
      </vt:variant>
    </vt:vector>
  </HeadingPairs>
  <TitlesOfParts>
    <vt:vector size="67" baseType="lpstr">
      <vt:lpstr>Criterios</vt:lpstr>
      <vt:lpstr>NºAsuntos</vt:lpstr>
      <vt:lpstr>Resol  Asuntos</vt:lpstr>
      <vt:lpstr>Ejecu  Sentencias</vt:lpstr>
      <vt:lpstr>Evolución</vt:lpstr>
      <vt:lpstr>Tasas</vt:lpstr>
      <vt:lpstr>Definiciones</vt:lpstr>
      <vt:lpstr>'Indicadores CA'!agrupada</vt:lpstr>
      <vt:lpstr>agrupada</vt:lpstr>
      <vt:lpstr>'Indicadores CA'!Año</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IV'!Área_de_impresión</vt:lpstr>
      <vt:lpstr>'Indicadores IVP'!Área_de_impresión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'Indicadores CA'!boletin</vt:lpstr>
      <vt:lpstr>boletin</vt:lpstr>
      <vt:lpstr>'Indicadores CA'!D_I</vt:lpstr>
      <vt:lpstr>D_I</vt:lpstr>
      <vt:lpstr>'Indicadores CA'!factor_trimestre</vt:lpstr>
      <vt:lpstr>factor_trimestre</vt:lpstr>
      <vt:lpstr>'Indicadores CA'!J_V</vt:lpstr>
      <vt:lpstr>J_V</vt:lpstr>
      <vt:lpstr>'Indicadores CA'!jurisdiccion</vt:lpstr>
      <vt:lpstr>jurisdiccion</vt:lpstr>
      <vt:lpstr>'Indicadores CA'!salto</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IV'!Títulos_a_imprimir</vt:lpstr>
      <vt:lpstr>'Indicadores IVP'!Títulos_a_imprimir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'Indicadores CA'!TrimFin</vt:lpstr>
      <vt:lpstr>TrimFin</vt:lpstr>
      <vt:lpstr>'Indicadores CA'!TrimIni</vt:lpstr>
      <vt:lpstr>TrimIni</vt:lpstr>
      <vt:lpstr>ULTIMODIA</vt:lpstr>
      <vt:lpstr>'Indicadores CA'!ultimoDiaTrim</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2026-06-18T10:47:40Z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